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Desktop\"/>
    </mc:Choice>
  </mc:AlternateContent>
  <xr:revisionPtr revIDLastSave="0" documentId="8_{E02CD87B-30C7-43D6-9E94-261F5B8DF35C}" xr6:coauthVersionLast="47" xr6:coauthVersionMax="47" xr10:uidLastSave="{00000000-0000-0000-0000-000000000000}"/>
  <bookViews>
    <workbookView xWindow="6540" yWindow="4903" windowWidth="31689" windowHeight="18223" xr2:uid="{F825A7DF-6E59-4EF4-9CA0-254D6860C8A2}"/>
  </bookViews>
  <sheets>
    <sheet name="IRR_Review" sheetId="1" r:id="rId1"/>
  </sheets>
  <definedNames>
    <definedName name="_xlnm.Print_Area" localSheetId="0">IRR_Review!$A$1:$AB$40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AA31" i="1"/>
  <c r="AA19" i="1"/>
  <c r="X31" i="1"/>
  <c r="X19" i="1"/>
  <c r="U31" i="1" l="1"/>
  <c r="U19" i="1"/>
  <c r="R31" i="1"/>
  <c r="R19" i="1"/>
  <c r="L15" i="1"/>
  <c r="O15" i="1" s="1"/>
  <c r="R15" i="1" s="1"/>
  <c r="U15" i="1" s="1"/>
  <c r="X15" i="1" s="1"/>
  <c r="C4" i="1"/>
  <c r="AA15" i="1" l="1"/>
  <c r="F69" i="1" l="1"/>
  <c r="O31" i="1"/>
  <c r="L31" i="1"/>
  <c r="I31" i="1"/>
  <c r="I19" i="1"/>
  <c r="L19" i="1"/>
  <c r="O19" i="1"/>
  <c r="AE14" i="1" l="1"/>
  <c r="F71" i="1"/>
  <c r="F72" i="1" s="1"/>
  <c r="L69" i="1"/>
  <c r="U69" i="1" s="1"/>
  <c r="O69" i="1"/>
  <c r="X69" i="1" s="1"/>
  <c r="I69" i="1"/>
  <c r="R69" i="1" s="1"/>
  <c r="AA69" i="1" s="1"/>
  <c r="D9" i="1"/>
  <c r="F19" i="1"/>
  <c r="F31" i="1" s="1"/>
  <c r="F20" i="1"/>
  <c r="D8" i="1"/>
  <c r="I47" i="1" l="1"/>
  <c r="L47" i="1" s="1"/>
  <c r="O47" i="1" s="1"/>
  <c r="R47" i="1" s="1"/>
  <c r="U47" i="1" s="1"/>
  <c r="X47" i="1" s="1"/>
  <c r="AA47" i="1" s="1"/>
  <c r="X45" i="1"/>
  <c r="U45" i="1"/>
  <c r="R45" i="1"/>
  <c r="AA45" i="1"/>
  <c r="F74" i="1"/>
  <c r="O74" i="1" s="1"/>
  <c r="X74" i="1" s="1"/>
  <c r="F58" i="1"/>
  <c r="F63" i="1" s="1"/>
  <c r="F32" i="1" s="1"/>
  <c r="O72" i="1"/>
  <c r="X72" i="1" s="1"/>
  <c r="I72" i="1"/>
  <c r="R72" i="1" s="1"/>
  <c r="AA72" i="1" s="1"/>
  <c r="L72" i="1"/>
  <c r="U72" i="1" s="1"/>
  <c r="L74" i="1"/>
  <c r="U74" i="1" s="1"/>
  <c r="O71" i="1"/>
  <c r="X71" i="1" s="1"/>
  <c r="I71" i="1"/>
  <c r="R71" i="1" s="1"/>
  <c r="AA71" i="1" s="1"/>
  <c r="L71" i="1"/>
  <c r="U71" i="1" s="1"/>
  <c r="I45" i="1"/>
  <c r="L45" i="1"/>
  <c r="O45" i="1"/>
  <c r="O20" i="1" s="1"/>
  <c r="AD19" i="1"/>
  <c r="F21" i="1"/>
  <c r="AA52" i="1" l="1"/>
  <c r="AA48" i="1"/>
  <c r="AA53" i="1" s="1"/>
  <c r="AA46" i="1"/>
  <c r="AA49" i="1"/>
  <c r="AA51" i="1"/>
  <c r="AA50" i="1"/>
  <c r="AA20" i="1"/>
  <c r="R49" i="1"/>
  <c r="R51" i="1"/>
  <c r="R52" i="1"/>
  <c r="R50" i="1"/>
  <c r="R48" i="1"/>
  <c r="R53" i="1" s="1"/>
  <c r="R58" i="1" s="1"/>
  <c r="R63" i="1" s="1"/>
  <c r="R46" i="1"/>
  <c r="F59" i="1"/>
  <c r="F64" i="1" s="1"/>
  <c r="F33" i="1" s="1"/>
  <c r="U21" i="1"/>
  <c r="R21" i="1"/>
  <c r="O21" i="1"/>
  <c r="X21" i="1"/>
  <c r="AA21" i="1"/>
  <c r="U52" i="1"/>
  <c r="U50" i="1"/>
  <c r="U46" i="1"/>
  <c r="U48" i="1"/>
  <c r="U53" i="1" s="1"/>
  <c r="U49" i="1"/>
  <c r="U51" i="1"/>
  <c r="R20" i="1"/>
  <c r="X48" i="1"/>
  <c r="X53" i="1" s="1"/>
  <c r="X58" i="1" s="1"/>
  <c r="X63" i="1" s="1"/>
  <c r="X51" i="1"/>
  <c r="X50" i="1"/>
  <c r="X52" i="1"/>
  <c r="X49" i="1"/>
  <c r="X46" i="1"/>
  <c r="X20" i="1"/>
  <c r="U20" i="1"/>
  <c r="L20" i="1"/>
  <c r="L48" i="1"/>
  <c r="L50" i="1"/>
  <c r="L49" i="1"/>
  <c r="L51" i="1"/>
  <c r="L52" i="1"/>
  <c r="I52" i="1"/>
  <c r="I48" i="1"/>
  <c r="I51" i="1"/>
  <c r="I50" i="1"/>
  <c r="I49" i="1"/>
  <c r="I74" i="1"/>
  <c r="R74" i="1" s="1"/>
  <c r="AA74" i="1" s="1"/>
  <c r="O50" i="1"/>
  <c r="O49" i="1"/>
  <c r="O52" i="1"/>
  <c r="O48" i="1"/>
  <c r="O53" i="1" s="1"/>
  <c r="O51" i="1"/>
  <c r="I20" i="1"/>
  <c r="I46" i="1"/>
  <c r="O46" i="1"/>
  <c r="L46" i="1"/>
  <c r="F22" i="1"/>
  <c r="L21" i="1"/>
  <c r="I21" i="1"/>
  <c r="AD20" i="1"/>
  <c r="AD21" i="1" s="1"/>
  <c r="AD22" i="1" s="1"/>
  <c r="AD23" i="1" s="1"/>
  <c r="U58" i="1" l="1"/>
  <c r="U63" i="1" s="1"/>
  <c r="AA58" i="1"/>
  <c r="AA63" i="1" s="1"/>
  <c r="R55" i="1"/>
  <c r="R60" i="1" s="1"/>
  <c r="R65" i="1" s="1"/>
  <c r="U32" i="1"/>
  <c r="AA56" i="1"/>
  <c r="U57" i="1"/>
  <c r="R57" i="1"/>
  <c r="X32" i="1"/>
  <c r="L55" i="1"/>
  <c r="X57" i="1"/>
  <c r="X55" i="1"/>
  <c r="X60" i="1" s="1"/>
  <c r="X65" i="1" s="1"/>
  <c r="U54" i="1"/>
  <c r="U59" i="1" s="1"/>
  <c r="U64" i="1" s="1"/>
  <c r="U33" i="1" s="1"/>
  <c r="AA55" i="1"/>
  <c r="AA60" i="1" s="1"/>
  <c r="AA65" i="1" s="1"/>
  <c r="O57" i="1"/>
  <c r="X56" i="1"/>
  <c r="R56" i="1"/>
  <c r="AA57" i="1"/>
  <c r="AA32" i="1"/>
  <c r="F60" i="1"/>
  <c r="F65" i="1" s="1"/>
  <c r="F34" i="1" s="1"/>
  <c r="U22" i="1"/>
  <c r="R22" i="1"/>
  <c r="O22" i="1"/>
  <c r="AA22" i="1"/>
  <c r="X22" i="1"/>
  <c r="U56" i="1"/>
  <c r="O54" i="1"/>
  <c r="O59" i="1" s="1"/>
  <c r="O64" i="1" s="1"/>
  <c r="O33" i="1" s="1"/>
  <c r="L56" i="1"/>
  <c r="X54" i="1"/>
  <c r="X59" i="1" s="1"/>
  <c r="X64" i="1" s="1"/>
  <c r="X33" i="1" s="1"/>
  <c r="U55" i="1"/>
  <c r="U60" i="1" s="1"/>
  <c r="U65" i="1" s="1"/>
  <c r="AA54" i="1"/>
  <c r="AA59" i="1" s="1"/>
  <c r="AA64" i="1" s="1"/>
  <c r="AA33" i="1" s="1"/>
  <c r="R32" i="1"/>
  <c r="R54" i="1"/>
  <c r="R59" i="1" s="1"/>
  <c r="R64" i="1" s="1"/>
  <c r="R33" i="1" s="1"/>
  <c r="O55" i="1"/>
  <c r="O60" i="1" s="1"/>
  <c r="O65" i="1" s="1"/>
  <c r="L54" i="1"/>
  <c r="L59" i="1" s="1"/>
  <c r="L64" i="1" s="1"/>
  <c r="L33" i="1" s="1"/>
  <c r="L57" i="1"/>
  <c r="L53" i="1"/>
  <c r="O58" i="1"/>
  <c r="O63" i="1" s="1"/>
  <c r="O32" i="1" s="1"/>
  <c r="O56" i="1"/>
  <c r="I55" i="1"/>
  <c r="I60" i="1" s="1"/>
  <c r="I65" i="1" s="1"/>
  <c r="I57" i="1"/>
  <c r="I54" i="1"/>
  <c r="I59" i="1" s="1"/>
  <c r="I64" i="1" s="1"/>
  <c r="I56" i="1"/>
  <c r="I53" i="1"/>
  <c r="F23" i="1"/>
  <c r="I22" i="1"/>
  <c r="L22" i="1"/>
  <c r="AD24" i="1"/>
  <c r="AD25" i="1" s="1"/>
  <c r="AD43" i="1"/>
  <c r="X61" i="1" l="1"/>
  <c r="X66" i="1" s="1"/>
  <c r="L60" i="1"/>
  <c r="L65" i="1" s="1"/>
  <c r="X34" i="1"/>
  <c r="AA34" i="1"/>
  <c r="F61" i="1"/>
  <c r="F66" i="1" s="1"/>
  <c r="F35" i="1" s="1"/>
  <c r="AA43" i="1"/>
  <c r="X43" i="1"/>
  <c r="U23" i="1"/>
  <c r="R23" i="1"/>
  <c r="O23" i="1"/>
  <c r="X23" i="1"/>
  <c r="AA23" i="1"/>
  <c r="U43" i="1"/>
  <c r="R43" i="1"/>
  <c r="U61" i="1"/>
  <c r="U66" i="1" s="1"/>
  <c r="R61" i="1"/>
  <c r="R66" i="1" s="1"/>
  <c r="O34" i="1"/>
  <c r="R34" i="1"/>
  <c r="AA61" i="1"/>
  <c r="AA66" i="1" s="1"/>
  <c r="L34" i="1"/>
  <c r="I61" i="1"/>
  <c r="I66" i="1" s="1"/>
  <c r="U34" i="1"/>
  <c r="L61" i="1"/>
  <c r="L66" i="1" s="1"/>
  <c r="L58" i="1"/>
  <c r="L63" i="1" s="1"/>
  <c r="L32" i="1" s="1"/>
  <c r="O61" i="1"/>
  <c r="O66" i="1" s="1"/>
  <c r="I58" i="1"/>
  <c r="I63" i="1" s="1"/>
  <c r="I32" i="1" s="1"/>
  <c r="I33" i="1"/>
  <c r="I34" i="1"/>
  <c r="I43" i="1"/>
  <c r="L43" i="1"/>
  <c r="O43" i="1"/>
  <c r="I23" i="1"/>
  <c r="F43" i="1"/>
  <c r="L23" i="1"/>
  <c r="O35" i="1" l="1"/>
  <c r="I35" i="1"/>
  <c r="R35" i="1"/>
  <c r="U35" i="1"/>
  <c r="L35" i="1"/>
  <c r="AA35" i="1"/>
  <c r="U62" i="1"/>
  <c r="U67" i="1" s="1"/>
  <c r="R62" i="1"/>
  <c r="R67" i="1" s="1"/>
  <c r="X62" i="1"/>
  <c r="X67" i="1" s="1"/>
  <c r="AA62" i="1"/>
  <c r="AA67" i="1" s="1"/>
  <c r="L62" i="1"/>
  <c r="L67" i="1" s="1"/>
  <c r="X35" i="1"/>
  <c r="F62" i="1"/>
  <c r="F67" i="1" s="1"/>
  <c r="O62" i="1"/>
  <c r="O67" i="1" s="1"/>
  <c r="I62" i="1"/>
  <c r="I67" i="1" s="1"/>
  <c r="F44" i="1"/>
  <c r="I44" i="1" l="1"/>
  <c r="F70" i="1"/>
  <c r="F73" i="1" s="1"/>
  <c r="F75" i="1" l="1"/>
  <c r="L73" i="1"/>
  <c r="U73" i="1" s="1"/>
  <c r="O73" i="1"/>
  <c r="X73" i="1" s="1"/>
  <c r="I73" i="1"/>
  <c r="R73" i="1" s="1"/>
  <c r="AA73" i="1" s="1"/>
  <c r="O70" i="1"/>
  <c r="X70" i="1" s="1"/>
  <c r="I70" i="1"/>
  <c r="R70" i="1" s="1"/>
  <c r="AA70" i="1" s="1"/>
  <c r="L70" i="1"/>
  <c r="U70" i="1" s="1"/>
  <c r="F24" i="1"/>
  <c r="F25" i="1" s="1"/>
  <c r="L44" i="1"/>
  <c r="I24" i="1"/>
  <c r="I25" i="1" s="1"/>
  <c r="O44" i="1" l="1"/>
  <c r="L24" i="1"/>
  <c r="L25" i="1" s="1"/>
  <c r="F76" i="1"/>
  <c r="O75" i="1"/>
  <c r="X75" i="1" s="1"/>
  <c r="I75" i="1"/>
  <c r="R75" i="1" s="1"/>
  <c r="AA75" i="1" s="1"/>
  <c r="L75" i="1"/>
  <c r="U75" i="1" s="1"/>
  <c r="L27" i="1" l="1"/>
  <c r="F36" i="1"/>
  <c r="F37" i="1" s="1"/>
  <c r="F39" i="1" s="1"/>
  <c r="U76" i="1"/>
  <c r="U36" i="1" s="1"/>
  <c r="U37" i="1" s="1"/>
  <c r="X76" i="1"/>
  <c r="X36" i="1" s="1"/>
  <c r="X37" i="1" s="1"/>
  <c r="AA76" i="1"/>
  <c r="AA36" i="1" s="1"/>
  <c r="AA37" i="1" s="1"/>
  <c r="R76" i="1"/>
  <c r="R36" i="1" s="1"/>
  <c r="R37" i="1" s="1"/>
  <c r="O24" i="1"/>
  <c r="O25" i="1" s="1"/>
  <c r="R44" i="1"/>
  <c r="O76" i="1"/>
  <c r="L76" i="1"/>
  <c r="L36" i="1" s="1"/>
  <c r="L37" i="1" s="1"/>
  <c r="I76" i="1"/>
  <c r="AA38" i="1" l="1"/>
  <c r="X38" i="1"/>
  <c r="L39" i="1"/>
  <c r="U38" i="1"/>
  <c r="O27" i="1"/>
  <c r="U44" i="1"/>
  <c r="R24" i="1"/>
  <c r="R25" i="1" s="1"/>
  <c r="R27" i="1" s="1"/>
  <c r="O36" i="1"/>
  <c r="O37" i="1" s="1"/>
  <c r="O38" i="1" s="1"/>
  <c r="I36" i="1"/>
  <c r="I37" i="1" s="1"/>
  <c r="O39" i="1" l="1"/>
  <c r="R38" i="1"/>
  <c r="I39" i="1"/>
  <c r="L38" i="1"/>
  <c r="R39" i="1"/>
  <c r="X44" i="1"/>
  <c r="U24" i="1"/>
  <c r="U25" i="1" s="1"/>
  <c r="U39" i="1" l="1"/>
  <c r="U27" i="1"/>
  <c r="AA44" i="1"/>
  <c r="AA24" i="1" s="1"/>
  <c r="AA25" i="1" s="1"/>
  <c r="AA39" i="1" s="1"/>
  <c r="X24" i="1"/>
  <c r="X25" i="1" s="1"/>
  <c r="X27" i="1" s="1"/>
  <c r="X39" i="1" l="1"/>
  <c r="AA27" i="1"/>
</calcChain>
</file>

<file path=xl/sharedStrings.xml><?xml version="1.0" encoding="utf-8"?>
<sst xmlns="http://schemas.openxmlformats.org/spreadsheetml/2006/main" count="120" uniqueCount="68">
  <si>
    <t>n</t>
  </si>
  <si>
    <t>$</t>
  </si>
  <si>
    <t>Going in CAP rate</t>
  </si>
  <si>
    <t>Exit Cap rate</t>
  </si>
  <si>
    <t>100% cash</t>
  </si>
  <si>
    <t>Price</t>
  </si>
  <si>
    <t>Down Payment</t>
  </si>
  <si>
    <t xml:space="preserve"> </t>
  </si>
  <si>
    <t>Net Rents</t>
  </si>
  <si>
    <t>Net Rent increase</t>
  </si>
  <si>
    <t>Hidden Calcs</t>
  </si>
  <si>
    <t>Loan Amount</t>
  </si>
  <si>
    <t>Loan Balance year 5</t>
  </si>
  <si>
    <t>=-FV($E$45/12,12*K4,-$I$45,$G$17,0)</t>
  </si>
  <si>
    <t>=-PMT(E45/12,12*E46,price*E44,0)</t>
  </si>
  <si>
    <t>IRR =</t>
  </si>
  <si>
    <t>Assumptions:</t>
  </si>
  <si>
    <t>Annual Debt Service</t>
  </si>
  <si>
    <t>Loan at</t>
  </si>
  <si>
    <t>N5 CF</t>
  </si>
  <si>
    <t>Before Tax IRR</t>
  </si>
  <si>
    <t>After Tax IRR</t>
  </si>
  <si>
    <t>Cost Recovery Tax Rate</t>
  </si>
  <si>
    <t>Capital Gains Tax Rate</t>
  </si>
  <si>
    <t>Federal Income Tax Rate</t>
  </si>
  <si>
    <t>Cost Recovery Improvement Allocation</t>
  </si>
  <si>
    <t>Cost Recovery per year</t>
  </si>
  <si>
    <t>Cost Recovery Time period</t>
  </si>
  <si>
    <t>Sales Price year 5</t>
  </si>
  <si>
    <t>Less Cost Recovery</t>
  </si>
  <si>
    <t>Capital Gains</t>
  </si>
  <si>
    <t>Tax on Cost Recovery</t>
  </si>
  <si>
    <t>Tax on Capital Gains</t>
  </si>
  <si>
    <t>Mortgage Balance Year 1</t>
  </si>
  <si>
    <t>Mortgage Balance Year 2</t>
  </si>
  <si>
    <t>Mortgage Balance Year 3</t>
  </si>
  <si>
    <t>Mortgage Balance Year 4</t>
  </si>
  <si>
    <t>Mortgage Balance Year 5</t>
  </si>
  <si>
    <t>Mortgage Balance Year 0</t>
  </si>
  <si>
    <t>CFAT 1</t>
  </si>
  <si>
    <t>CFAT 2</t>
  </si>
  <si>
    <t>CFAT 3</t>
  </si>
  <si>
    <t>CFAT 4</t>
  </si>
  <si>
    <t>CFAT 5</t>
  </si>
  <si>
    <t>SPAT</t>
  </si>
  <si>
    <t>Basis At Sale</t>
  </si>
  <si>
    <t>N6 CF</t>
  </si>
  <si>
    <t>CF 1 Ordinary Income Tax</t>
  </si>
  <si>
    <t>CF 2 Ordinary Income Tax</t>
  </si>
  <si>
    <t>CF 3 Ordinary Income Tax</t>
  </si>
  <si>
    <t>CF 4 Ordinary Income Tax</t>
  </si>
  <si>
    <t>CF 5 Ordinary Income Tax</t>
  </si>
  <si>
    <t>Down payment</t>
  </si>
  <si>
    <t>Cash flow + Sales</t>
  </si>
  <si>
    <t>Cash flow</t>
  </si>
  <si>
    <t>Cash flow + Sales Proceeds</t>
  </si>
  <si>
    <t xml:space="preserve">Lenders Yield @ </t>
  </si>
  <si>
    <t>Diff is Annual vs. monthly</t>
  </si>
  <si>
    <t>Loan Amortization</t>
  </si>
  <si>
    <t>Mortgage Interest Deduction year 1</t>
  </si>
  <si>
    <t>Mortgage Interest Deduction year 2</t>
  </si>
  <si>
    <t>Mortgage Interest Deduction year 3</t>
  </si>
  <si>
    <t>Mortgage Interest Deduction year 4</t>
  </si>
  <si>
    <t>Mortgage Interest Deduction year 5</t>
  </si>
  <si>
    <t>NM Apartment Advisors - impact of interest rates on IRR model</t>
  </si>
  <si>
    <t>v7 - 8/27/2022</t>
  </si>
  <si>
    <t>Investors Effective Tax Rate =</t>
  </si>
  <si>
    <t>Delta/Change in IRR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</si>
</sst>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Calibri"/>
      <family val="2"/>
      <scheme val="minor"/>
    </font>
    <font>
      <sz val="12"/>
      <name val="Garamond"/>
      <family val="1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0" fontId="1" fillId="0" borderId="0" xfId="3" applyNumberFormat="1" applyFont="1"/>
    <xf numFmtId="164" fontId="1" fillId="0" borderId="0" xfId="2" applyNumberFormat="1" applyFont="1"/>
    <xf numFmtId="164" fontId="1" fillId="0" borderId="0" xfId="0" applyNumberFormat="1" applyFont="1"/>
    <xf numFmtId="164" fontId="1" fillId="0" borderId="2" xfId="0" applyNumberFormat="1" applyFont="1" applyBorder="1"/>
    <xf numFmtId="164" fontId="1" fillId="0" borderId="2" xfId="0" quotePrefix="1" applyNumberFormat="1" applyFont="1" applyBorder="1"/>
    <xf numFmtId="164" fontId="1" fillId="0" borderId="6" xfId="0" applyNumberFormat="1" applyFont="1" applyBorder="1"/>
    <xf numFmtId="164" fontId="3" fillId="0" borderId="0" xfId="0" quotePrefix="1" applyNumberFormat="1" applyFont="1"/>
    <xf numFmtId="6" fontId="3" fillId="0" borderId="0" xfId="0" quotePrefix="1" applyNumberFormat="1" applyFont="1"/>
    <xf numFmtId="10" fontId="1" fillId="0" borderId="0" xfId="0" applyNumberFormat="1" applyFont="1"/>
    <xf numFmtId="0" fontId="4" fillId="0" borderId="0" xfId="0" applyFont="1"/>
    <xf numFmtId="9" fontId="1" fillId="0" borderId="0" xfId="3" applyFont="1" applyAlignment="1">
      <alignment horizontal="center"/>
    </xf>
    <xf numFmtId="0" fontId="1" fillId="0" borderId="0" xfId="0" applyFont="1" applyAlignment="1">
      <alignment horizontal="center"/>
    </xf>
    <xf numFmtId="10" fontId="1" fillId="0" borderId="0" xfId="3" applyNumberFormat="1" applyFont="1" applyAlignment="1">
      <alignment horizontal="center"/>
    </xf>
    <xf numFmtId="164" fontId="1" fillId="0" borderId="0" xfId="0" quotePrefix="1" applyNumberFormat="1" applyFont="1"/>
    <xf numFmtId="10" fontId="4" fillId="0" borderId="0" xfId="3" applyNumberFormat="1" applyFont="1"/>
    <xf numFmtId="0" fontId="1" fillId="0" borderId="0" xfId="0" applyFont="1" applyAlignment="1">
      <alignment horizontal="right"/>
    </xf>
    <xf numFmtId="2" fontId="1" fillId="0" borderId="0" xfId="1" applyNumberFormat="1" applyFont="1" applyAlignment="1">
      <alignment horizontal="center"/>
    </xf>
    <xf numFmtId="10" fontId="4" fillId="0" borderId="0" xfId="3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10" fontId="4" fillId="0" borderId="0" xfId="0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163286</xdr:colOff>
      <xdr:row>0</xdr:row>
      <xdr:rowOff>0</xdr:rowOff>
    </xdr:from>
    <xdr:to>
      <xdr:col>10</xdr:col>
      <xdr:colOff>59870</xdr:colOff>
      <xdr:row>12</xdr:row>
      <xdr:rowOff>92529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C07BB6-52BB-B1A9-E017-409D0E036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0"/>
          <a:ext cx="2449285" cy="2449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9D78E-4774-4F78-88F6-172738DF6FA6}">
  <sheetPr>
    <pageSetUpPr fitToPage="1"/>
  </sheetPr>
  <dimension ref="B2:AE80"/>
  <sheetViews>
    <sheetView showGridLines="0" tabSelected="1" zoomScaleNormal="100" workbookViewId="0">
      <selection activeCell="U15" sqref="U15"/>
    </sheetView>
  </sheetViews>
  <sheetFormatPr defaultColWidth="9.23046875" defaultRowHeight="15.45" x14ac:dyDescent="0.4"/>
  <cols>
    <col min="1" max="1" width="1.69140625" style="1" customWidth="1"/>
    <col min="2" max="2" width="36.69140625" style="1" bestFit="1" customWidth="1"/>
    <col min="3" max="3" width="8.69140625" style="1" customWidth="1"/>
    <col min="4" max="4" width="15.765625" style="1" bestFit="1" customWidth="1"/>
    <col min="5" max="5" width="3.69140625" style="1" customWidth="1"/>
    <col min="6" max="6" width="12.69140625" style="1" customWidth="1"/>
    <col min="7" max="7" width="1.69140625" style="1" customWidth="1"/>
    <col min="8" max="8" width="3.69140625" style="1" customWidth="1"/>
    <col min="9" max="9" width="12.69140625" style="1" customWidth="1"/>
    <col min="10" max="10" width="1.69140625" style="1" customWidth="1"/>
    <col min="11" max="11" width="3.69140625" style="1" customWidth="1"/>
    <col min="12" max="12" width="12.69140625" style="1" customWidth="1"/>
    <col min="13" max="13" width="1.69140625" style="1" customWidth="1"/>
    <col min="14" max="14" width="3.69140625" style="1" customWidth="1"/>
    <col min="15" max="15" width="12.69140625" style="1" customWidth="1"/>
    <col min="16" max="16" width="1.69140625" style="1" customWidth="1"/>
    <col min="17" max="17" width="3.69140625" style="1" customWidth="1"/>
    <col min="18" max="18" width="12.69140625" style="1" customWidth="1"/>
    <col min="19" max="19" width="1.69140625" style="1" customWidth="1"/>
    <col min="20" max="20" width="3.69140625" style="1" customWidth="1"/>
    <col min="21" max="21" width="12.69140625" style="1" customWidth="1"/>
    <col min="22" max="23" width="3.69140625" style="1" customWidth="1"/>
    <col min="24" max="24" width="12.69140625" style="1" customWidth="1"/>
    <col min="25" max="26" width="3.69140625" style="1" customWidth="1"/>
    <col min="27" max="27" width="12.69140625" style="1" customWidth="1"/>
    <col min="28" max="28" width="1.69140625" style="1" customWidth="1"/>
    <col min="29" max="29" width="3.69140625" style="1" customWidth="1"/>
    <col min="30" max="30" width="12.69140625" style="1" customWidth="1"/>
    <col min="31" max="31" width="9.23046875" style="1"/>
    <col min="32" max="32" width="3.69140625" style="1" customWidth="1"/>
    <col min="33" max="33" width="12.69140625" style="1" customWidth="1"/>
    <col min="34" max="16384" width="9.23046875" style="1"/>
  </cols>
  <sheetData>
    <row r="2" spans="2:31" x14ac:dyDescent="0.4">
      <c r="B2" s="14" t="s">
        <v>16</v>
      </c>
      <c r="L2" s="14"/>
    </row>
    <row r="3" spans="2:31" x14ac:dyDescent="0.4">
      <c r="B3" s="20" t="s">
        <v>2</v>
      </c>
      <c r="C3" s="5">
        <v>0.05</v>
      </c>
      <c r="L3" s="14" t="s">
        <v>64</v>
      </c>
      <c r="Y3" s="19"/>
      <c r="Z3" s="19"/>
      <c r="AA3" s="19"/>
      <c r="AB3" s="19"/>
    </row>
    <row r="4" spans="2:31" x14ac:dyDescent="0.4">
      <c r="B4" s="20" t="s">
        <v>3</v>
      </c>
      <c r="C4" s="5">
        <f>+C3</f>
        <v>0.05</v>
      </c>
      <c r="N4" s="1" t="s">
        <v>65</v>
      </c>
    </row>
    <row r="5" spans="2:31" x14ac:dyDescent="0.4">
      <c r="B5" s="20" t="s">
        <v>8</v>
      </c>
      <c r="C5" s="6">
        <v>50000</v>
      </c>
      <c r="H5" s="1" t="s">
        <v>7</v>
      </c>
    </row>
    <row r="6" spans="2:31" x14ac:dyDescent="0.4">
      <c r="B6" s="20" t="s">
        <v>9</v>
      </c>
      <c r="C6" s="5">
        <v>3.5000000000000003E-2</v>
      </c>
    </row>
    <row r="7" spans="2:31" x14ac:dyDescent="0.4">
      <c r="B7" s="20" t="s">
        <v>5</v>
      </c>
      <c r="D7" s="6">
        <v>1000000</v>
      </c>
    </row>
    <row r="8" spans="2:31" x14ac:dyDescent="0.4">
      <c r="B8" s="20" t="s">
        <v>6</v>
      </c>
      <c r="C8" s="15">
        <v>0.25</v>
      </c>
      <c r="D8" s="7">
        <f>+C8*D7</f>
        <v>250000</v>
      </c>
    </row>
    <row r="9" spans="2:31" x14ac:dyDescent="0.4">
      <c r="B9" s="20" t="s">
        <v>11</v>
      </c>
      <c r="C9" s="15">
        <f>1-C8</f>
        <v>0.75</v>
      </c>
      <c r="D9" s="7">
        <f>+C9*D7</f>
        <v>750000</v>
      </c>
    </row>
    <row r="10" spans="2:31" x14ac:dyDescent="0.4">
      <c r="B10" s="20" t="s">
        <v>58</v>
      </c>
      <c r="C10" s="16">
        <v>30</v>
      </c>
    </row>
    <row r="11" spans="2:31" x14ac:dyDescent="0.4">
      <c r="B11" s="20" t="s">
        <v>25</v>
      </c>
      <c r="C11" s="17">
        <v>0.8</v>
      </c>
    </row>
    <row r="12" spans="2:31" x14ac:dyDescent="0.4">
      <c r="B12" s="20" t="s">
        <v>27</v>
      </c>
      <c r="C12" s="21">
        <v>27.5</v>
      </c>
    </row>
    <row r="13" spans="2:31" x14ac:dyDescent="0.4">
      <c r="B13" s="20" t="s">
        <v>24</v>
      </c>
      <c r="C13" s="17">
        <v>0.35</v>
      </c>
    </row>
    <row r="14" spans="2:31" x14ac:dyDescent="0.4">
      <c r="B14" s="20" t="s">
        <v>22</v>
      </c>
      <c r="C14" s="17">
        <v>0.25</v>
      </c>
      <c r="E14" s="1" t="s">
        <v>4</v>
      </c>
      <c r="H14" s="1" t="s">
        <v>18</v>
      </c>
      <c r="K14" s="1" t="s">
        <v>18</v>
      </c>
      <c r="N14" s="1" t="s">
        <v>18</v>
      </c>
      <c r="Q14" s="1" t="s">
        <v>18</v>
      </c>
      <c r="T14" s="1" t="s">
        <v>18</v>
      </c>
      <c r="W14" s="1" t="s">
        <v>18</v>
      </c>
      <c r="Z14" s="1" t="s">
        <v>18</v>
      </c>
      <c r="AC14" s="1" t="s">
        <v>56</v>
      </c>
      <c r="AE14" s="13">
        <f>+O15</f>
        <v>3.9999999999999994E-2</v>
      </c>
    </row>
    <row r="15" spans="2:31" x14ac:dyDescent="0.4">
      <c r="B15" s="20" t="s">
        <v>23</v>
      </c>
      <c r="C15" s="17">
        <v>0.2</v>
      </c>
      <c r="I15" s="22">
        <v>0.03</v>
      </c>
      <c r="L15" s="22">
        <f>+I15+0.005</f>
        <v>3.4999999999999996E-2</v>
      </c>
      <c r="O15" s="22">
        <f>+L15+0.005</f>
        <v>3.9999999999999994E-2</v>
      </c>
      <c r="R15" s="22">
        <f>+O15+0.005</f>
        <v>4.4999999999999991E-2</v>
      </c>
      <c r="U15" s="22">
        <f>+R15+0.005</f>
        <v>4.9999999999999989E-2</v>
      </c>
      <c r="X15" s="22">
        <f>+U15+0.005</f>
        <v>5.4999999999999986E-2</v>
      </c>
      <c r="AA15" s="22">
        <f>+X15+0.005</f>
        <v>5.9999999999999984E-2</v>
      </c>
    </row>
    <row r="16" spans="2:31" x14ac:dyDescent="0.4">
      <c r="B16" s="1" t="s">
        <v>7</v>
      </c>
    </row>
    <row r="17" spans="4:31" x14ac:dyDescent="0.4">
      <c r="D17" s="14" t="s">
        <v>20</v>
      </c>
      <c r="H17" s="1" t="s">
        <v>7</v>
      </c>
    </row>
    <row r="18" spans="4:31" x14ac:dyDescent="0.4">
      <c r="E18" s="2" t="s">
        <v>0</v>
      </c>
      <c r="F18" s="23" t="s">
        <v>1</v>
      </c>
      <c r="H18" s="2" t="s">
        <v>0</v>
      </c>
      <c r="I18" s="23" t="s">
        <v>1</v>
      </c>
      <c r="K18" s="2" t="s">
        <v>0</v>
      </c>
      <c r="L18" s="23" t="s">
        <v>1</v>
      </c>
      <c r="N18" s="2" t="s">
        <v>0</v>
      </c>
      <c r="O18" s="23" t="s">
        <v>1</v>
      </c>
      <c r="Q18" s="2" t="s">
        <v>0</v>
      </c>
      <c r="R18" s="23" t="s">
        <v>1</v>
      </c>
      <c r="T18" s="2" t="s">
        <v>0</v>
      </c>
      <c r="U18" s="23" t="s">
        <v>1</v>
      </c>
      <c r="W18" s="2" t="s">
        <v>0</v>
      </c>
      <c r="X18" s="23" t="s">
        <v>1</v>
      </c>
      <c r="Z18" s="2" t="s">
        <v>0</v>
      </c>
      <c r="AA18" s="23" t="s">
        <v>1</v>
      </c>
      <c r="AC18" s="2" t="s">
        <v>0</v>
      </c>
      <c r="AD18" s="23" t="s">
        <v>1</v>
      </c>
    </row>
    <row r="19" spans="4:31" x14ac:dyDescent="0.4">
      <c r="D19" s="1" t="s">
        <v>52</v>
      </c>
      <c r="E19" s="3">
        <v>0</v>
      </c>
      <c r="F19" s="10">
        <f>-D7</f>
        <v>-1000000</v>
      </c>
      <c r="H19" s="3">
        <v>0</v>
      </c>
      <c r="I19" s="10">
        <f>-$C$8*$D$7</f>
        <v>-250000</v>
      </c>
      <c r="K19" s="3">
        <v>0</v>
      </c>
      <c r="L19" s="10">
        <f>-$C$8*$D$7</f>
        <v>-250000</v>
      </c>
      <c r="N19" s="3">
        <v>0</v>
      </c>
      <c r="O19" s="10">
        <f>-$C$8*$D$7</f>
        <v>-250000</v>
      </c>
      <c r="Q19" s="3">
        <v>0</v>
      </c>
      <c r="R19" s="10">
        <f>-$C$8*$D$7</f>
        <v>-250000</v>
      </c>
      <c r="T19" s="3">
        <v>0</v>
      </c>
      <c r="U19" s="10">
        <f>-$C$8*$D$7</f>
        <v>-250000</v>
      </c>
      <c r="W19" s="3">
        <v>0</v>
      </c>
      <c r="X19" s="10">
        <f>-$C$8*$D$7</f>
        <v>-250000</v>
      </c>
      <c r="Z19" s="3">
        <v>0</v>
      </c>
      <c r="AA19" s="10">
        <f>-$C$8*$D$7</f>
        <v>-250000</v>
      </c>
      <c r="AC19" s="3">
        <v>0</v>
      </c>
      <c r="AD19" s="10">
        <f>-D9</f>
        <v>-750000</v>
      </c>
    </row>
    <row r="20" spans="4:31" x14ac:dyDescent="0.4">
      <c r="D20" s="20" t="s">
        <v>54</v>
      </c>
      <c r="E20" s="4">
        <v>1</v>
      </c>
      <c r="F20" s="8">
        <f>+C5</f>
        <v>50000</v>
      </c>
      <c r="H20" s="4">
        <v>1</v>
      </c>
      <c r="I20" s="8">
        <f>+$F20-$I$45</f>
        <v>12055.636964349455</v>
      </c>
      <c r="K20" s="4">
        <v>1</v>
      </c>
      <c r="L20" s="8">
        <f>+$F20-$L$45</f>
        <v>9585.9780972057997</v>
      </c>
      <c r="N20" s="4">
        <v>1</v>
      </c>
      <c r="O20" s="8">
        <f>+$F20-O$45</f>
        <v>7032.6234081086513</v>
      </c>
      <c r="Q20" s="4">
        <v>1</v>
      </c>
      <c r="R20" s="8">
        <f>+$F20-R$45</f>
        <v>4398.3221156707441</v>
      </c>
      <c r="T20" s="4">
        <v>1</v>
      </c>
      <c r="U20" s="8">
        <f>+$F20-U$45</f>
        <v>1686.053928907495</v>
      </c>
      <c r="W20" s="4">
        <v>1</v>
      </c>
      <c r="X20" s="8">
        <f>+$F20-X$45</f>
        <v>-1101.0101212302543</v>
      </c>
      <c r="Z20" s="4">
        <v>1</v>
      </c>
      <c r="AA20" s="8">
        <f>+$F20-AA$45</f>
        <v>-3959.5472637477069</v>
      </c>
      <c r="AC20" s="4">
        <v>1</v>
      </c>
      <c r="AD20" s="8">
        <f>+O45</f>
        <v>42967.376591891349</v>
      </c>
    </row>
    <row r="21" spans="4:31" x14ac:dyDescent="0.4">
      <c r="D21" s="20" t="s">
        <v>54</v>
      </c>
      <c r="E21" s="4">
        <v>2</v>
      </c>
      <c r="F21" s="8">
        <f>+F20+F20*$C$6</f>
        <v>51750</v>
      </c>
      <c r="H21" s="4">
        <v>2</v>
      </c>
      <c r="I21" s="8">
        <f>+$F21-$I$45</f>
        <v>13805.636964349455</v>
      </c>
      <c r="K21" s="4">
        <v>2</v>
      </c>
      <c r="L21" s="8">
        <f>+$F21-$L$45</f>
        <v>11335.9780972058</v>
      </c>
      <c r="N21" s="4">
        <v>2</v>
      </c>
      <c r="O21" s="8">
        <f>+$F21-O$45</f>
        <v>8782.6234081086513</v>
      </c>
      <c r="Q21" s="4">
        <v>2</v>
      </c>
      <c r="R21" s="8">
        <f>+$F21-R$45</f>
        <v>6148.3221156707441</v>
      </c>
      <c r="T21" s="4">
        <v>2</v>
      </c>
      <c r="U21" s="8">
        <f>+$F21-U$45</f>
        <v>3436.053928907495</v>
      </c>
      <c r="W21" s="4">
        <v>2</v>
      </c>
      <c r="X21" s="8">
        <f>+$F21-X$45</f>
        <v>648.9898787697457</v>
      </c>
      <c r="Z21" s="4">
        <v>2</v>
      </c>
      <c r="AA21" s="8">
        <f>+$F21-AA$45</f>
        <v>-2209.5472637477069</v>
      </c>
      <c r="AC21" s="4">
        <v>2</v>
      </c>
      <c r="AD21" s="8">
        <f>+AD20</f>
        <v>42967.376591891349</v>
      </c>
    </row>
    <row r="22" spans="4:31" x14ac:dyDescent="0.4">
      <c r="D22" s="20" t="s">
        <v>54</v>
      </c>
      <c r="E22" s="4">
        <v>3</v>
      </c>
      <c r="F22" s="8">
        <f>+F21+F21*$C$6</f>
        <v>53561.25</v>
      </c>
      <c r="H22" s="4">
        <v>3</v>
      </c>
      <c r="I22" s="8">
        <f>+$F22-$I$45</f>
        <v>15616.886964349455</v>
      </c>
      <c r="K22" s="4">
        <v>3</v>
      </c>
      <c r="L22" s="8">
        <f>+$F22-$L$45</f>
        <v>13147.2280972058</v>
      </c>
      <c r="N22" s="4">
        <v>3</v>
      </c>
      <c r="O22" s="8">
        <f>+$F22-O$45</f>
        <v>10593.873408108651</v>
      </c>
      <c r="Q22" s="4">
        <v>3</v>
      </c>
      <c r="R22" s="8">
        <f>+$F22-R$45</f>
        <v>7959.5721156707441</v>
      </c>
      <c r="T22" s="4">
        <v>3</v>
      </c>
      <c r="U22" s="8">
        <f>+$F22-U$45</f>
        <v>5247.303928907495</v>
      </c>
      <c r="W22" s="4">
        <v>3</v>
      </c>
      <c r="X22" s="8">
        <f>+$F22-X$45</f>
        <v>2460.2398787697457</v>
      </c>
      <c r="Z22" s="4">
        <v>3</v>
      </c>
      <c r="AA22" s="8">
        <f>+$F22-AA$45</f>
        <v>-398.29726374770689</v>
      </c>
      <c r="AC22" s="4">
        <v>3</v>
      </c>
      <c r="AD22" s="8">
        <f t="shared" ref="AD22:AD23" si="0">+AD21</f>
        <v>42967.376591891349</v>
      </c>
    </row>
    <row r="23" spans="4:31" x14ac:dyDescent="0.4">
      <c r="D23" s="20" t="s">
        <v>54</v>
      </c>
      <c r="E23" s="4">
        <v>4</v>
      </c>
      <c r="F23" s="8">
        <f>+F22+F22*$C$6</f>
        <v>55435.893750000003</v>
      </c>
      <c r="H23" s="4">
        <v>4</v>
      </c>
      <c r="I23" s="8">
        <f>+$F23-$I$45</f>
        <v>17491.530714349457</v>
      </c>
      <c r="K23" s="4">
        <v>4</v>
      </c>
      <c r="L23" s="8">
        <f>+$F23-$L$45</f>
        <v>15021.871847205803</v>
      </c>
      <c r="N23" s="4">
        <v>4</v>
      </c>
      <c r="O23" s="8">
        <f>+$F23-O$45</f>
        <v>12468.517158108654</v>
      </c>
      <c r="Q23" s="4">
        <v>4</v>
      </c>
      <c r="R23" s="8">
        <f>+$F23-R$45</f>
        <v>9834.215865670747</v>
      </c>
      <c r="T23" s="4">
        <v>4</v>
      </c>
      <c r="U23" s="8">
        <f>+$F23-U$45</f>
        <v>7121.9476789074979</v>
      </c>
      <c r="W23" s="4">
        <v>4</v>
      </c>
      <c r="X23" s="8">
        <f>+$F23-X$45</f>
        <v>4334.8836287697486</v>
      </c>
      <c r="Z23" s="4">
        <v>4</v>
      </c>
      <c r="AA23" s="8">
        <f>+$F23-AA$45</f>
        <v>1476.346486252296</v>
      </c>
      <c r="AC23" s="4">
        <v>4</v>
      </c>
      <c r="AD23" s="8">
        <f t="shared" si="0"/>
        <v>42967.376591891349</v>
      </c>
    </row>
    <row r="24" spans="4:31" x14ac:dyDescent="0.4">
      <c r="D24" s="1" t="s">
        <v>53</v>
      </c>
      <c r="E24" s="4">
        <v>5</v>
      </c>
      <c r="F24" s="9">
        <f>+F43+F70</f>
        <v>1245062.4556781249</v>
      </c>
      <c r="H24" s="4">
        <v>5</v>
      </c>
      <c r="I24" s="9">
        <f>+((I43-$I$45)+(I44/$C$4))-I46</f>
        <v>540320.36754224228</v>
      </c>
      <c r="K24" s="4">
        <v>5</v>
      </c>
      <c r="L24" s="9">
        <f>+((L43-L45)+(L44/$C$4))-L46</f>
        <v>531920.3884656576</v>
      </c>
      <c r="N24" s="4">
        <v>5</v>
      </c>
      <c r="O24" s="9">
        <f>+((O43-O45)+(O44/$C$4))-O46</f>
        <v>523738.73056555365</v>
      </c>
      <c r="Q24" s="4">
        <v>5</v>
      </c>
      <c r="R24" s="9">
        <f>+((R43-R45)+(R44/$C$4))-R46</f>
        <v>515776.39907096978</v>
      </c>
      <c r="T24" s="4">
        <v>5</v>
      </c>
      <c r="U24" s="9">
        <f>+((U43-U45)+(U44/$C$4))-U46</f>
        <v>508033.01896929322</v>
      </c>
      <c r="W24" s="4">
        <v>5</v>
      </c>
      <c r="X24" s="9">
        <f>+((X43-X45)+(X44/$C$4))-X46</f>
        <v>500506.91934898216</v>
      </c>
      <c r="Z24" s="4">
        <v>5</v>
      </c>
      <c r="AA24" s="9">
        <f>+((AA43-AA45)+(AA44/$C$4))-AA46</f>
        <v>493195.2322432287</v>
      </c>
      <c r="AC24" s="4">
        <v>5</v>
      </c>
      <c r="AD24" s="8">
        <f>+AD23+O46</f>
        <v>721323.72511257138</v>
      </c>
    </row>
    <row r="25" spans="4:31" x14ac:dyDescent="0.4">
      <c r="D25" s="24" t="s">
        <v>15</v>
      </c>
      <c r="E25" s="14"/>
      <c r="F25" s="25">
        <f>IRR(F19:F24)</f>
        <v>8.4999999999999964E-2</v>
      </c>
      <c r="G25" s="14"/>
      <c r="H25" s="14"/>
      <c r="I25" s="25">
        <f>IRR(I19:I24)</f>
        <v>0.20438301578763896</v>
      </c>
      <c r="J25" s="14"/>
      <c r="K25" s="14"/>
      <c r="L25" s="25">
        <f>IRR(L19:L24)</f>
        <v>0.19429225751996149</v>
      </c>
      <c r="M25" s="14"/>
      <c r="N25" s="14"/>
      <c r="O25" s="25">
        <f>IRR(O19:O24)</f>
        <v>0.18402190499813509</v>
      </c>
      <c r="P25" s="14"/>
      <c r="Q25" s="14"/>
      <c r="R25" s="25">
        <f>IRR(R19:R24)</f>
        <v>0.17358539582537746</v>
      </c>
      <c r="S25" s="14"/>
      <c r="T25" s="14"/>
      <c r="U25" s="25">
        <f>IRR(U19:U24)</f>
        <v>0.16299654179939527</v>
      </c>
      <c r="V25" s="14"/>
      <c r="W25" s="14"/>
      <c r="X25" s="25">
        <f>IRR(X19:X24)</f>
        <v>0.1522693781228488</v>
      </c>
      <c r="Y25" s="14"/>
      <c r="Z25" s="14"/>
      <c r="AA25" s="25">
        <f>IRR(AA19:AA24)</f>
        <v>0.14141801655643693</v>
      </c>
      <c r="AC25" s="13" t="s">
        <v>7</v>
      </c>
      <c r="AD25" s="13">
        <f>IRR(AD19:AD24)</f>
        <v>3.964068579678548E-2</v>
      </c>
      <c r="AE25" s="1" t="s">
        <v>57</v>
      </c>
    </row>
    <row r="27" spans="4:31" x14ac:dyDescent="0.4">
      <c r="D27" s="1" t="s">
        <v>67</v>
      </c>
      <c r="L27" s="13">
        <f>+(I25-L25)/I25</f>
        <v>4.9371804348763093E-2</v>
      </c>
      <c r="O27" s="13">
        <f>+(L25-O25)/L25</f>
        <v>5.2860328316331529E-2</v>
      </c>
      <c r="R27" s="13">
        <f>+(O25-R25)/O25</f>
        <v>5.671340687872669E-2</v>
      </c>
      <c r="U27" s="13">
        <f>+(R25-U25)/R25</f>
        <v>6.1000834636079165E-2</v>
      </c>
      <c r="X27" s="13">
        <f>+(U25-X25)/U25</f>
        <v>6.5812216370508714E-2</v>
      </c>
      <c r="AA27" s="13">
        <f>+(X25-AA25)/X25</f>
        <v>7.1264240388879366E-2</v>
      </c>
    </row>
    <row r="29" spans="4:31" x14ac:dyDescent="0.4">
      <c r="D29" s="14" t="s">
        <v>21</v>
      </c>
      <c r="F29" s="16"/>
      <c r="H29" s="1" t="s">
        <v>7</v>
      </c>
    </row>
    <row r="30" spans="4:31" x14ac:dyDescent="0.4">
      <c r="E30" s="2" t="s">
        <v>0</v>
      </c>
      <c r="F30" s="23" t="s">
        <v>1</v>
      </c>
      <c r="H30" s="2" t="s">
        <v>0</v>
      </c>
      <c r="I30" s="23" t="s">
        <v>1</v>
      </c>
      <c r="K30" s="2" t="s">
        <v>0</v>
      </c>
      <c r="L30" s="23" t="s">
        <v>1</v>
      </c>
      <c r="N30" s="2" t="s">
        <v>0</v>
      </c>
      <c r="O30" s="23" t="s">
        <v>1</v>
      </c>
      <c r="Q30" s="2" t="s">
        <v>0</v>
      </c>
      <c r="R30" s="23" t="s">
        <v>1</v>
      </c>
      <c r="T30" s="2" t="s">
        <v>0</v>
      </c>
      <c r="U30" s="23" t="s">
        <v>1</v>
      </c>
      <c r="W30" s="2" t="s">
        <v>0</v>
      </c>
      <c r="X30" s="23" t="s">
        <v>1</v>
      </c>
      <c r="Z30" s="2" t="s">
        <v>0</v>
      </c>
      <c r="AA30" s="23" t="s">
        <v>1</v>
      </c>
    </row>
    <row r="31" spans="4:31" x14ac:dyDescent="0.4">
      <c r="D31" s="1" t="s">
        <v>52</v>
      </c>
      <c r="E31" s="3">
        <v>0</v>
      </c>
      <c r="F31" s="10">
        <f>+F19</f>
        <v>-1000000</v>
      </c>
      <c r="H31" s="3">
        <v>0</v>
      </c>
      <c r="I31" s="10">
        <f>-$C$8*$D$7</f>
        <v>-250000</v>
      </c>
      <c r="K31" s="3">
        <v>0</v>
      </c>
      <c r="L31" s="10">
        <f>-$C$8*$D$7</f>
        <v>-250000</v>
      </c>
      <c r="N31" s="3">
        <v>0</v>
      </c>
      <c r="O31" s="10">
        <f>-$C$8*$D$7</f>
        <v>-250000</v>
      </c>
      <c r="Q31" s="3">
        <v>0</v>
      </c>
      <c r="R31" s="10">
        <f>-$C$8*$D$7</f>
        <v>-250000</v>
      </c>
      <c r="T31" s="3">
        <v>0</v>
      </c>
      <c r="U31" s="10">
        <f>-$C$8*$D$7</f>
        <v>-250000</v>
      </c>
      <c r="W31" s="3">
        <v>0</v>
      </c>
      <c r="X31" s="10">
        <f>-$C$8*$D$7</f>
        <v>-250000</v>
      </c>
      <c r="Z31" s="3">
        <v>0</v>
      </c>
      <c r="AA31" s="10">
        <f>-$C$8*$D$7</f>
        <v>-250000</v>
      </c>
    </row>
    <row r="32" spans="4:31" x14ac:dyDescent="0.4">
      <c r="D32" s="20" t="s">
        <v>54</v>
      </c>
      <c r="E32" s="4">
        <v>1</v>
      </c>
      <c r="F32" s="8">
        <f>+F20-F63</f>
        <v>42681.818181818184</v>
      </c>
      <c r="H32" s="4">
        <v>1</v>
      </c>
      <c r="I32" s="8">
        <f>+I20-I63</f>
        <v>12055.636964349455</v>
      </c>
      <c r="K32" s="4">
        <v>1</v>
      </c>
      <c r="L32" s="8">
        <f>+L20-L63</f>
        <v>9585.9780972057997</v>
      </c>
      <c r="N32" s="4">
        <v>1</v>
      </c>
      <c r="O32" s="8">
        <f>+O20-O63</f>
        <v>7032.6234081086513</v>
      </c>
      <c r="Q32" s="4">
        <v>1</v>
      </c>
      <c r="R32" s="8">
        <f>+R20-R63</f>
        <v>4398.3221156707441</v>
      </c>
      <c r="T32" s="4">
        <v>1</v>
      </c>
      <c r="U32" s="8">
        <f>+U20-U63</f>
        <v>1686.053928907495</v>
      </c>
      <c r="W32" s="4">
        <v>1</v>
      </c>
      <c r="X32" s="8">
        <f>+X20-X63</f>
        <v>-1101.0101212302543</v>
      </c>
      <c r="Z32" s="4">
        <v>1</v>
      </c>
      <c r="AA32" s="8">
        <f>+AA20-AA63</f>
        <v>-3959.5472637477069</v>
      </c>
    </row>
    <row r="33" spans="3:30" x14ac:dyDescent="0.4">
      <c r="D33" s="20" t="s">
        <v>54</v>
      </c>
      <c r="E33" s="4">
        <v>2</v>
      </c>
      <c r="F33" s="8">
        <f>+F21-F64</f>
        <v>43819.318181818184</v>
      </c>
      <c r="H33" s="4">
        <v>2</v>
      </c>
      <c r="I33" s="8">
        <f>+I21-I64</f>
        <v>13508.312347657422</v>
      </c>
      <c r="K33" s="4">
        <v>2</v>
      </c>
      <c r="L33" s="8">
        <f>+L21-L64</f>
        <v>11335.9780972058</v>
      </c>
      <c r="N33" s="4">
        <v>2</v>
      </c>
      <c r="O33" s="8">
        <f>+O21-O64</f>
        <v>8782.6234081086513</v>
      </c>
      <c r="Q33" s="4">
        <v>2</v>
      </c>
      <c r="R33" s="8">
        <f>+R21-R64</f>
        <v>6148.3221156707441</v>
      </c>
      <c r="T33" s="4">
        <v>2</v>
      </c>
      <c r="U33" s="8">
        <f>+U21-U64</f>
        <v>3436.053928907495</v>
      </c>
      <c r="W33" s="4">
        <v>2</v>
      </c>
      <c r="X33" s="8">
        <f>+X21-X64</f>
        <v>648.9898787697457</v>
      </c>
      <c r="Z33" s="4">
        <v>2</v>
      </c>
      <c r="AA33" s="8">
        <f>+AA21-AA64</f>
        <v>-2209.5472637477069</v>
      </c>
    </row>
    <row r="34" spans="3:30" x14ac:dyDescent="0.4">
      <c r="D34" s="20" t="s">
        <v>54</v>
      </c>
      <c r="E34" s="4">
        <v>3</v>
      </c>
      <c r="F34" s="8">
        <f>+F22-F65</f>
        <v>44996.630681818184</v>
      </c>
      <c r="H34" s="4">
        <v>3</v>
      </c>
      <c r="I34" s="8">
        <f>+I22-I65</f>
        <v>14513.860772482325</v>
      </c>
      <c r="K34" s="4">
        <v>3</v>
      </c>
      <c r="L34" s="8">
        <f>+L22-L65</f>
        <v>13147.2280972058</v>
      </c>
      <c r="N34" s="4">
        <v>3</v>
      </c>
      <c r="O34" s="8">
        <f>+O22-O65</f>
        <v>10593.873408108651</v>
      </c>
      <c r="Q34" s="4">
        <v>3</v>
      </c>
      <c r="R34" s="8">
        <f>+R22-R65</f>
        <v>7959.5721156707441</v>
      </c>
      <c r="T34" s="4">
        <v>3</v>
      </c>
      <c r="U34" s="8">
        <f>+U22-U65</f>
        <v>5247.303928907495</v>
      </c>
      <c r="W34" s="4">
        <v>3</v>
      </c>
      <c r="X34" s="8">
        <f>+X22-X65</f>
        <v>2460.2398787697457</v>
      </c>
      <c r="Z34" s="4">
        <v>3</v>
      </c>
      <c r="AA34" s="8">
        <f>+AA22-AA65</f>
        <v>-398.29726374770689</v>
      </c>
    </row>
    <row r="35" spans="3:30" x14ac:dyDescent="0.4">
      <c r="D35" s="20" t="s">
        <v>54</v>
      </c>
      <c r="E35" s="4">
        <v>4</v>
      </c>
      <c r="F35" s="8">
        <f>+F23-F66</f>
        <v>46215.149119318186</v>
      </c>
      <c r="H35" s="4">
        <v>4</v>
      </c>
      <c r="I35" s="8">
        <f>+I23-I66</f>
        <v>15555.39076609748</v>
      </c>
      <c r="K35" s="4">
        <v>4</v>
      </c>
      <c r="L35" s="8">
        <f>+L23-L66</f>
        <v>14351.450890770506</v>
      </c>
      <c r="N35" s="4">
        <v>4</v>
      </c>
      <c r="O35" s="8">
        <f>+O23-O66</f>
        <v>12468.517158108654</v>
      </c>
      <c r="Q35" s="4">
        <v>4</v>
      </c>
      <c r="R35" s="8">
        <f>+R23-R66</f>
        <v>9834.215865670747</v>
      </c>
      <c r="T35" s="4">
        <v>4</v>
      </c>
      <c r="U35" s="8">
        <f>+U23-U66</f>
        <v>7121.9476789074979</v>
      </c>
      <c r="W35" s="4">
        <v>4</v>
      </c>
      <c r="X35" s="8">
        <f>+X23-X66</f>
        <v>4334.8836287697486</v>
      </c>
      <c r="Z35" s="4">
        <v>4</v>
      </c>
      <c r="AA35" s="8">
        <f>+AA23-AA66</f>
        <v>1476.346486252296</v>
      </c>
    </row>
    <row r="36" spans="3:30" x14ac:dyDescent="0.4">
      <c r="D36" s="20" t="s">
        <v>55</v>
      </c>
      <c r="E36" s="4">
        <v>5</v>
      </c>
      <c r="F36" s="9">
        <f>+F43+F76-F67</f>
        <v>1161261.7238559939</v>
      </c>
      <c r="H36" s="4">
        <v>5</v>
      </c>
      <c r="I36" s="8">
        <f>+I76+I43-I67-I45</f>
        <v>463621.86868577299</v>
      </c>
      <c r="K36" s="4">
        <v>5</v>
      </c>
      <c r="L36" s="8">
        <f>+L76+L43-L67-L45</f>
        <v>456470.99801218719</v>
      </c>
      <c r="N36" s="4">
        <v>5</v>
      </c>
      <c r="O36" s="8">
        <f>+O76+O43-O67-O45</f>
        <v>449553.21084724995</v>
      </c>
      <c r="Q36" s="4">
        <v>5</v>
      </c>
      <c r="R36" s="8">
        <f>+R76+R43-R67-R45</f>
        <v>441875.50157795812</v>
      </c>
      <c r="T36" s="4">
        <v>5</v>
      </c>
      <c r="U36" s="8">
        <f>+U76+U43-U67-U45</f>
        <v>434132.12147628173</v>
      </c>
      <c r="W36" s="4">
        <v>5</v>
      </c>
      <c r="X36" s="8">
        <f>+X76+X43-X67-X45</f>
        <v>426606.02185597067</v>
      </c>
      <c r="Z36" s="4">
        <v>5</v>
      </c>
      <c r="AA36" s="8">
        <f>+AA76+AA43-AA67-AA45</f>
        <v>419294.33475021727</v>
      </c>
    </row>
    <row r="37" spans="3:30" x14ac:dyDescent="0.4">
      <c r="D37" s="24" t="s">
        <v>15</v>
      </c>
      <c r="E37" s="14"/>
      <c r="F37" s="25">
        <f>IRR(F31:F36)</f>
        <v>6.4877096378537003E-2</v>
      </c>
      <c r="G37" s="14"/>
      <c r="H37" s="14"/>
      <c r="I37" s="25">
        <f>IRR(I31:I36)</f>
        <v>0.16898140507427484</v>
      </c>
      <c r="J37" s="14"/>
      <c r="K37" s="14"/>
      <c r="L37" s="25">
        <f>IRR(L31:L36)</f>
        <v>0.16036666462334948</v>
      </c>
      <c r="M37" s="14"/>
      <c r="N37" s="14"/>
      <c r="O37" s="25">
        <f>IRR(O31:O36)</f>
        <v>0.15034754072067535</v>
      </c>
      <c r="P37" s="14"/>
      <c r="Q37" s="14"/>
      <c r="R37" s="25">
        <f>IRR(R31:R36)</f>
        <v>0.13931783250115459</v>
      </c>
      <c r="S37" s="14"/>
      <c r="T37" s="14"/>
      <c r="U37" s="25">
        <f>IRR(U31:U36)</f>
        <v>0.12797805044351684</v>
      </c>
      <c r="V37" s="14"/>
      <c r="W37" s="14"/>
      <c r="X37" s="25">
        <f>IRR(X31:X36)</f>
        <v>0.11647984610701267</v>
      </c>
      <c r="Y37" s="14"/>
      <c r="Z37" s="14"/>
      <c r="AA37" s="25">
        <f>IRR(AA31:AA36)</f>
        <v>0.1048378305351807</v>
      </c>
    </row>
    <row r="38" spans="3:30" x14ac:dyDescent="0.4">
      <c r="D38" s="1" t="s">
        <v>67</v>
      </c>
      <c r="L38" s="13">
        <f>+(I37-L37)/I37</f>
        <v>5.0980404898034792E-2</v>
      </c>
      <c r="O38" s="13">
        <f>+(L37-O37)/L37</f>
        <v>6.247635022032709E-2</v>
      </c>
      <c r="R38" s="13">
        <f>+(O37-R37)/O37</f>
        <v>7.336141427156706E-2</v>
      </c>
      <c r="U38" s="13">
        <f>+(R37-U37)/R37</f>
        <v>8.1395050827709148E-2</v>
      </c>
      <c r="X38" s="13">
        <f>+(U37-X37)/U37</f>
        <v>8.9845128103267252E-2</v>
      </c>
      <c r="AA38" s="13">
        <f>+(X37-AA37)/X37</f>
        <v>9.9948754749694571E-2</v>
      </c>
    </row>
    <row r="39" spans="3:30" x14ac:dyDescent="0.4">
      <c r="D39" s="20" t="s">
        <v>66</v>
      </c>
      <c r="F39" s="13">
        <f>+(F25-F37)/F25</f>
        <v>0.2367400426054467</v>
      </c>
      <c r="I39" s="13">
        <f>+(I25-I37)/I25</f>
        <v>0.17321209679256136</v>
      </c>
      <c r="L39" s="13">
        <f>+(L25-L37)/L25</f>
        <v>0.17461114163608146</v>
      </c>
      <c r="O39" s="13">
        <f>+(O25-O37)/O25</f>
        <v>0.1829910644485557</v>
      </c>
      <c r="R39" s="13">
        <f>+(R25-R37)/R25</f>
        <v>0.19741040518578634</v>
      </c>
      <c r="U39" s="13">
        <f>+(U25-U37)/U25</f>
        <v>0.21484192835806745</v>
      </c>
      <c r="X39" s="13">
        <f>+(X25-X37)/X25</f>
        <v>0.23504090222895394</v>
      </c>
      <c r="AA39" s="13">
        <f>+(AA25-AA37)/AA25</f>
        <v>0.25866708437858665</v>
      </c>
    </row>
    <row r="40" spans="3:30" x14ac:dyDescent="0.4">
      <c r="D40" s="20"/>
      <c r="F40" s="13"/>
      <c r="I40" s="13"/>
      <c r="L40" s="13"/>
      <c r="O40" s="13"/>
      <c r="R40" s="13"/>
      <c r="U40" s="13"/>
      <c r="X40" s="13"/>
      <c r="AA40" s="13"/>
    </row>
    <row r="42" spans="3:30" x14ac:dyDescent="0.4">
      <c r="D42" s="1" t="s">
        <v>10</v>
      </c>
    </row>
    <row r="43" spans="3:30" x14ac:dyDescent="0.4">
      <c r="D43" s="1" t="s">
        <v>19</v>
      </c>
      <c r="F43" s="18">
        <f>+F23+F23*$C$6</f>
        <v>57376.150031250007</v>
      </c>
      <c r="I43" s="18">
        <f>+$F$23+$F$23*$C$6</f>
        <v>57376.150031250007</v>
      </c>
      <c r="L43" s="18">
        <f>+$F$23+$F$23*$C$6</f>
        <v>57376.150031250007</v>
      </c>
      <c r="O43" s="18">
        <f>+$F$23+$F$23*$C$6</f>
        <v>57376.150031250007</v>
      </c>
      <c r="R43" s="18">
        <f>+$F$23+$F$23*$C$6</f>
        <v>57376.150031250007</v>
      </c>
      <c r="U43" s="18">
        <f>+$F$23+$F$23*$C$6</f>
        <v>57376.150031250007</v>
      </c>
      <c r="X43" s="18">
        <f>+$F$23+$F$23*$C$6</f>
        <v>57376.150031250007</v>
      </c>
      <c r="AA43" s="18">
        <f>+$F$23+$F$23*$C$6</f>
        <v>57376.150031250007</v>
      </c>
      <c r="AD43" s="18">
        <f>+AD23+AD23*$C$6</f>
        <v>44471.234772607546</v>
      </c>
    </row>
    <row r="44" spans="3:30" x14ac:dyDescent="0.4">
      <c r="D44" s="1" t="s">
        <v>46</v>
      </c>
      <c r="F44" s="18">
        <f>+F43*(1+C6)</f>
        <v>59384.315282343756</v>
      </c>
      <c r="I44" s="18">
        <f>+F44</f>
        <v>59384.315282343756</v>
      </c>
      <c r="L44" s="18">
        <f>+I44</f>
        <v>59384.315282343756</v>
      </c>
      <c r="O44" s="18">
        <f>+L44</f>
        <v>59384.315282343756</v>
      </c>
      <c r="R44" s="18">
        <f>+O44</f>
        <v>59384.315282343756</v>
      </c>
      <c r="U44" s="18">
        <f>+R44</f>
        <v>59384.315282343756</v>
      </c>
      <c r="X44" s="18">
        <f>+U44</f>
        <v>59384.315282343756</v>
      </c>
      <c r="AA44" s="18">
        <f>+X44</f>
        <v>59384.315282343756</v>
      </c>
      <c r="AD44" s="18"/>
    </row>
    <row r="45" spans="3:30" x14ac:dyDescent="0.4">
      <c r="D45" s="1" t="s">
        <v>17</v>
      </c>
      <c r="F45" s="18"/>
      <c r="I45" s="18">
        <f>(-PMT(I15/12,12*30,$D$9)*12)</f>
        <v>37944.363035650545</v>
      </c>
      <c r="L45" s="18">
        <f>(-PMT(L15/12,12*30,$D$9)*12)</f>
        <v>40414.0219027942</v>
      </c>
      <c r="O45" s="18">
        <f>(-PMT(O15/12,12*30,$D$9)*12)</f>
        <v>42967.376591891349</v>
      </c>
      <c r="R45" s="18">
        <f>(-PMT(R15/12,12*30,$D$9)*12)</f>
        <v>45601.677884329256</v>
      </c>
      <c r="U45" s="18">
        <f>(-PMT(U15/12,12*30,$D$9)*12)</f>
        <v>48313.946071092505</v>
      </c>
      <c r="X45" s="18">
        <f>(-PMT(X15/12,12*30,$D$9)*12)</f>
        <v>51101.010121230254</v>
      </c>
      <c r="AA45" s="18">
        <f>(-PMT(AA15/12,12*30,$D$9)*12)</f>
        <v>53959.547263747707</v>
      </c>
    </row>
    <row r="46" spans="3:30" x14ac:dyDescent="0.4">
      <c r="D46" s="1" t="s">
        <v>12</v>
      </c>
      <c r="F46" s="18"/>
      <c r="I46" s="18">
        <f>-FV(I15/12,60,-$I$45/12,$D$9)</f>
        <v>666797.72510023217</v>
      </c>
      <c r="L46" s="18">
        <f>-FV(L15/12,60,-L45/12,$D$9)</f>
        <v>672728.04530967306</v>
      </c>
      <c r="O46" s="18">
        <f>-FV(O15/12,60,-O45/12,$D$9)</f>
        <v>678356.34852067998</v>
      </c>
      <c r="R46" s="18">
        <f>-FV(R15/12,60,-R45/12,$D$9)</f>
        <v>683684.37872282602</v>
      </c>
      <c r="U46" s="18">
        <f>-FV(U15/12,60,-U45/12,$D$9)</f>
        <v>688715.49063773919</v>
      </c>
      <c r="X46" s="18">
        <f>-FV(X15/12,60,-X45/12,$D$9)</f>
        <v>693454.52620791248</v>
      </c>
      <c r="AA46" s="18">
        <f>-FV(AA15/12,60,-AA45/12,$D$9)</f>
        <v>697907.67617114843</v>
      </c>
    </row>
    <row r="47" spans="3:30" x14ac:dyDescent="0.4">
      <c r="C47" s="1" t="s">
        <v>38</v>
      </c>
      <c r="F47" s="18"/>
      <c r="I47" s="18">
        <f>+D9</f>
        <v>750000</v>
      </c>
      <c r="L47" s="18">
        <f>+I47</f>
        <v>750000</v>
      </c>
      <c r="O47" s="18">
        <f>+L47</f>
        <v>750000</v>
      </c>
      <c r="R47" s="18">
        <f>+O47</f>
        <v>750000</v>
      </c>
      <c r="U47" s="18">
        <f>+R47</f>
        <v>750000</v>
      </c>
      <c r="X47" s="18">
        <f>+U47</f>
        <v>750000</v>
      </c>
      <c r="AA47" s="18">
        <f>+X47</f>
        <v>750000</v>
      </c>
    </row>
    <row r="48" spans="3:30" x14ac:dyDescent="0.4">
      <c r="C48" s="1" t="s">
        <v>33</v>
      </c>
      <c r="F48" s="18"/>
      <c r="I48" s="18">
        <f>-FV($I$15/12,12,-I$45/12,$D$9)</f>
        <v>734341.49731170328</v>
      </c>
      <c r="L48" s="18">
        <f>-FV($I$15/12,12,-L$45/12,$D$9)</f>
        <v>731837.59605523315</v>
      </c>
      <c r="O48" s="18">
        <f>-FV($I$15/12,12,-O$45/12,$D$9)</f>
        <v>729248.83851495059</v>
      </c>
      <c r="R48" s="18">
        <f>-FV($I$15/12,12,-R$45/12,$D$9)</f>
        <v>726578.01202801766</v>
      </c>
      <c r="U48" s="18">
        <f>-FV($I$15/12,12,-U$45/12,$D$9)</f>
        <v>723828.13761780213</v>
      </c>
      <c r="X48" s="18">
        <f>-FV($I$15/12,12,-X$45/12,$D$9)</f>
        <v>721002.43028232967</v>
      </c>
      <c r="AA48" s="18">
        <f>-FV($I$15/12,12,-AA$45/12,$D$9)</f>
        <v>718104.25886358076</v>
      </c>
    </row>
    <row r="49" spans="3:27" x14ac:dyDescent="0.4">
      <c r="C49" s="1" t="s">
        <v>34</v>
      </c>
      <c r="F49" s="18"/>
      <c r="I49" s="18">
        <f>-FV(I$15/12,24,-I$45/12,$D$9)</f>
        <v>718206.72628030926</v>
      </c>
      <c r="L49" s="18">
        <f>-FV(L$15/12,24,-L$45/12,$D$9)</f>
        <v>720701.14845390629</v>
      </c>
      <c r="O49" s="18">
        <f>-FV(O$15/12,24,-O$45/12,$D$9)</f>
        <v>723046.34844050347</v>
      </c>
      <c r="R49" s="18">
        <f>-FV(R$15/12,24,-R$45/12,$D$9)</f>
        <v>725245.76448498201</v>
      </c>
      <c r="U49" s="18">
        <f>-FV(U$15/12,24,-U$45/12,$D$9)</f>
        <v>727303.4011328764</v>
      </c>
      <c r="X49" s="18">
        <f>-FV(X$15/12,24,-X$45/12,$D$9)</f>
        <v>729223.75979406596</v>
      </c>
      <c r="AA49" s="18">
        <f>-FV(AA$15/12,24,-AA$45/12,$D$9)</f>
        <v>731011.76625067077</v>
      </c>
    </row>
    <row r="50" spans="3:27" x14ac:dyDescent="0.4">
      <c r="C50" s="1" t="s">
        <v>35</v>
      </c>
      <c r="F50" s="18"/>
      <c r="I50" s="18">
        <f>-FV(I$15/12,36,-I$45/12,$D$9)</f>
        <v>701581.20074841497</v>
      </c>
      <c r="L50" s="18">
        <f>-FV(L$15/12,36,-L$45/12,$D$9)</f>
        <v>705265.61756409891</v>
      </c>
      <c r="O50" s="18">
        <f>-FV(O$15/12,36,-O$45/12,$D$9)</f>
        <v>708740.44183925632</v>
      </c>
      <c r="R50" s="18">
        <f>-FV(R$15/12,36,-R$45/12,$D$9)</f>
        <v>712009.35904877493</v>
      </c>
      <c r="U50" s="18">
        <f>-FV(U$15/12,36,-U$45/12,$D$9)</f>
        <v>715076.95996761788</v>
      </c>
      <c r="X50" s="18">
        <f>-FV(X$15/12,36,-X$45/12,$D$9)</f>
        <v>717948.645563105</v>
      </c>
      <c r="AA50" s="18">
        <f>-FV(AA$15/12,36,-AA$45/12,$D$9)</f>
        <v>720630.52569976542</v>
      </c>
    </row>
    <row r="51" spans="3:27" x14ac:dyDescent="0.4">
      <c r="C51" s="1" t="s">
        <v>36</v>
      </c>
      <c r="F51" s="18"/>
      <c r="I51" s="18">
        <f>-FV(I$15/12,48,-I$45/12,$D$9)</f>
        <v>684449.99394827825</v>
      </c>
      <c r="L51" s="18">
        <f>-FV(L$15/12,48,-L$45/12,$D$9)</f>
        <v>689281.09187343763</v>
      </c>
      <c r="O51" s="18">
        <f>-FV(O$15/12,48,-O$45/12,$D$9)</f>
        <v>693851.69053020794</v>
      </c>
      <c r="R51" s="18">
        <f>-FV(R$15/12,48,-R$45/12,$D$9)</f>
        <v>698164.87546266208</v>
      </c>
      <c r="U51" s="18">
        <f>-FV(U$15/12,48,-U$45/12,$D$9)</f>
        <v>702224.9908680052</v>
      </c>
      <c r="X51" s="18">
        <f>-FV(X$15/12,48,-X$45/12,$D$9)</f>
        <v>706037.52626277308</v>
      </c>
      <c r="AA51" s="18">
        <f>-FV(AA$15/12,48,-AA$45/12,$D$9)</f>
        <v>709608.99294724117</v>
      </c>
    </row>
    <row r="52" spans="3:27" x14ac:dyDescent="0.4">
      <c r="C52" s="1" t="s">
        <v>37</v>
      </c>
      <c r="F52" s="18"/>
      <c r="I52" s="18">
        <f>-FV(I$15/12,60,-I$45/12,$D$9)</f>
        <v>666797.72510023217</v>
      </c>
      <c r="L52" s="18">
        <f>-FV(L$15/12,60,-L$45/12,$D$9)</f>
        <v>672728.04530967306</v>
      </c>
      <c r="O52" s="18">
        <f>-FV(O$15/12,60,-O$45/12,$D$9)</f>
        <v>678356.34852067998</v>
      </c>
      <c r="R52" s="18">
        <f>-FV(R$15/12,60,-R$45/12,$D$9)</f>
        <v>683684.37872282602</v>
      </c>
      <c r="U52" s="18">
        <f>-FV(U$15/12,60,-U$45/12,$D$9)</f>
        <v>688715.49063773919</v>
      </c>
      <c r="X52" s="18">
        <f>-FV(X$15/12,60,-X$45/12,$D$9)</f>
        <v>693454.52620791248</v>
      </c>
      <c r="AA52" s="18">
        <f>-FV(AA$15/12,60,-AA$45/12,$D$9)</f>
        <v>697907.67617114843</v>
      </c>
    </row>
    <row r="53" spans="3:27" x14ac:dyDescent="0.4">
      <c r="C53" s="1" t="s">
        <v>59</v>
      </c>
      <c r="I53" s="7">
        <f>+I$45-(I47-I48)</f>
        <v>22285.860347353824</v>
      </c>
      <c r="L53" s="7">
        <f>+L$45-(L47-L48)</f>
        <v>22251.617958027353</v>
      </c>
      <c r="O53" s="7">
        <f>+O$45-(O47-O48)</f>
        <v>22216.215106841941</v>
      </c>
      <c r="R53" s="7">
        <f>+R$45-(R47-R48)</f>
        <v>22179.689912346919</v>
      </c>
      <c r="U53" s="7">
        <f>+U$45-(U47-U48)</f>
        <v>22142.083688894636</v>
      </c>
      <c r="X53" s="7">
        <f>+X$45-(X47-X48)</f>
        <v>22103.440403559929</v>
      </c>
      <c r="AA53" s="7">
        <f>+AA$45-(AA47-AA48)</f>
        <v>22063.806127328469</v>
      </c>
    </row>
    <row r="54" spans="3:27" x14ac:dyDescent="0.4">
      <c r="C54" s="1" t="s">
        <v>60</v>
      </c>
      <c r="I54" s="7">
        <f t="shared" ref="I54:I57" si="1">+I$45-(I48-I49)</f>
        <v>21809.592004256527</v>
      </c>
      <c r="L54" s="7">
        <f t="shared" ref="L54:L57" si="2">+L$45-(L48-L49)</f>
        <v>29277.574301467343</v>
      </c>
      <c r="O54" s="7">
        <f t="shared" ref="O54:O57" si="3">+O$45-(O48-O49)</f>
        <v>36764.886517444225</v>
      </c>
      <c r="R54" s="7">
        <f t="shared" ref="R54:R57" si="4">+R$45-(R48-R49)</f>
        <v>44269.430341293599</v>
      </c>
      <c r="U54" s="7">
        <f t="shared" ref="U54:U57" si="5">+U$45-(U48-U49)</f>
        <v>51789.209586166777</v>
      </c>
      <c r="X54" s="7">
        <f t="shared" ref="X54:X57" si="6">+X$45-(X48-X49)</f>
        <v>59322.339632966541</v>
      </c>
      <c r="AA54" s="7">
        <f t="shared" ref="AA54:AA57" si="7">+AA$45-(AA48-AA49)</f>
        <v>66867.054650837716</v>
      </c>
    </row>
    <row r="55" spans="3:27" x14ac:dyDescent="0.4">
      <c r="C55" s="1" t="s">
        <v>61</v>
      </c>
      <c r="I55" s="7">
        <f t="shared" si="1"/>
        <v>21318.837503756251</v>
      </c>
      <c r="L55" s="7">
        <f t="shared" si="2"/>
        <v>24978.491012986815</v>
      </c>
      <c r="O55" s="7">
        <f t="shared" si="3"/>
        <v>28661.469990644204</v>
      </c>
      <c r="R55" s="7">
        <f t="shared" si="4"/>
        <v>32365.272448122181</v>
      </c>
      <c r="U55" s="7">
        <f t="shared" si="5"/>
        <v>36087.504905833979</v>
      </c>
      <c r="X55" s="7">
        <f t="shared" si="6"/>
        <v>39825.895890269298</v>
      </c>
      <c r="AA55" s="7">
        <f t="shared" si="7"/>
        <v>43578.306712842357</v>
      </c>
    </row>
    <row r="56" spans="3:27" x14ac:dyDescent="0.4">
      <c r="C56" s="1" t="s">
        <v>62</v>
      </c>
      <c r="I56" s="7">
        <f t="shared" si="1"/>
        <v>20813.15623551383</v>
      </c>
      <c r="L56" s="7">
        <f t="shared" si="2"/>
        <v>24429.496212132923</v>
      </c>
      <c r="O56" s="7">
        <f t="shared" si="3"/>
        <v>28078.625282842964</v>
      </c>
      <c r="R56" s="7">
        <f t="shared" si="4"/>
        <v>31757.194298216404</v>
      </c>
      <c r="U56" s="7">
        <f t="shared" si="5"/>
        <v>35461.976971479831</v>
      </c>
      <c r="X56" s="7">
        <f t="shared" si="6"/>
        <v>39189.890820898334</v>
      </c>
      <c r="AA56" s="7">
        <f t="shared" si="7"/>
        <v>42938.01451122346</v>
      </c>
    </row>
    <row r="57" spans="3:27" x14ac:dyDescent="0.4">
      <c r="C57" s="1" t="s">
        <v>63</v>
      </c>
      <c r="I57" s="7">
        <f t="shared" si="1"/>
        <v>20292.094187604467</v>
      </c>
      <c r="L57" s="7">
        <f t="shared" si="2"/>
        <v>23860.975339029632</v>
      </c>
      <c r="O57" s="7">
        <f t="shared" si="3"/>
        <v>27472.034582363391</v>
      </c>
      <c r="R57" s="7">
        <f t="shared" si="4"/>
        <v>31121.181144493195</v>
      </c>
      <c r="U57" s="7">
        <f t="shared" si="5"/>
        <v>34804.445840826491</v>
      </c>
      <c r="X57" s="7">
        <f t="shared" si="6"/>
        <v>38518.01006636965</v>
      </c>
      <c r="AA57" s="7">
        <f t="shared" si="7"/>
        <v>42258.230487654961</v>
      </c>
    </row>
    <row r="58" spans="3:27" x14ac:dyDescent="0.4">
      <c r="C58" s="1" t="s">
        <v>47</v>
      </c>
      <c r="F58" s="18">
        <f>IF(+($F$20-F53-$I$69)&gt;0.1,(F20-F53-$I$69),0)</f>
        <v>20909.090909090908</v>
      </c>
      <c r="I58" s="18">
        <f>IF(+($F$20-I53-$I$69)&gt;0.1,(F20-I53-$I$69),0)</f>
        <v>0</v>
      </c>
      <c r="J58" s="7"/>
      <c r="L58" s="18">
        <f>IF(+($F$20-L53-$I$69)&gt;0.1,(I20-L53-$I$69),0)</f>
        <v>0</v>
      </c>
      <c r="O58" s="18">
        <f>IF(+($F$20-O53-$I$69)&gt;0.1,(L20-O53-$I$69),0)</f>
        <v>0</v>
      </c>
      <c r="R58" s="18">
        <f>IF(+($F$20-R53-$I$69)&gt;0.1,(O20-R53-$I$69),0)</f>
        <v>0</v>
      </c>
      <c r="U58" s="18">
        <f>IF(+($F$20-U53-$I$69)&gt;0.1,(R20-U53-$I$69),0)</f>
        <v>0</v>
      </c>
      <c r="X58" s="18">
        <f>IF(+($F$20-X53-$I$69)&gt;0.1,(U20-X53-$I$69),0)</f>
        <v>0</v>
      </c>
      <c r="AA58" s="18">
        <f>IF(+($F$20-AA53-$I$69)&gt;0.1,(X20-AA53-$I$69),0)</f>
        <v>0</v>
      </c>
    </row>
    <row r="59" spans="3:27" x14ac:dyDescent="0.4">
      <c r="C59" s="1" t="s">
        <v>48</v>
      </c>
      <c r="F59" s="18">
        <f>IF(+($F$21-F54-$I$69)&gt;0.1,(F21-F54-$I$69),0)</f>
        <v>22659.090909090908</v>
      </c>
      <c r="I59" s="18">
        <f>IF(+($F$21-I54-$I$69)&gt;0.1,(F21-I54-$I$69),0)</f>
        <v>849.49890483438139</v>
      </c>
      <c r="J59" s="7"/>
      <c r="L59" s="18">
        <f>IF(+($F$21-L54-$I$69)&gt;0.1,(I21-L54-$I$69),0)</f>
        <v>0</v>
      </c>
      <c r="O59" s="18">
        <f>IF(+($F$21-O54-$I$69)&gt;0.1,(L21-O54-$I$69),0)</f>
        <v>0</v>
      </c>
      <c r="R59" s="18">
        <f>IF(+($F$21-R54-$I$69)&gt;0.1,(O21-R54-$I$69),0)</f>
        <v>0</v>
      </c>
      <c r="U59" s="18">
        <f>IF(+($F$21-U54-$I$69)&gt;0.1,(R21-U54-$I$69),0)</f>
        <v>0</v>
      </c>
      <c r="X59" s="18">
        <f>IF(+($F$21-X54-$I$69)&gt;0.1,(U21-X54-$I$69),0)</f>
        <v>0</v>
      </c>
      <c r="AA59" s="18">
        <f>IF(+($F$21-AA54-$I$69)&gt;0.1,(X21-AA54-$I$69),0)</f>
        <v>0</v>
      </c>
    </row>
    <row r="60" spans="3:27" x14ac:dyDescent="0.4">
      <c r="C60" s="1" t="s">
        <v>49</v>
      </c>
      <c r="F60" s="18">
        <f>IF(+($F$22-F55-$I$69)&gt;0.1,(F22-F55-$I$69),0)</f>
        <v>24470.340909090908</v>
      </c>
      <c r="I60" s="18">
        <f>IF(+($F$22-I55-$I$69)&gt;0.1,(F22-I55-$I$69),0)</f>
        <v>3151.5034053346571</v>
      </c>
      <c r="L60" s="18">
        <f>IF(+($F$22-L55-$I$69)&gt;0.1,(I22-L55-$I$69),0)</f>
        <v>0</v>
      </c>
      <c r="O60" s="18">
        <f>IF(+($F$22-O55-$I$69)&gt;0.1,(L22-O55-$I$69),0)</f>
        <v>0</v>
      </c>
      <c r="R60" s="18">
        <f>IF(+($F$22-R55-$I$69)&gt;0.1,(O22-R55-$I$69),0)</f>
        <v>0</v>
      </c>
      <c r="U60" s="18">
        <f>IF(+($F$22-U55-$I$69)&gt;0.1,(R22-U55-$I$69),0)</f>
        <v>0</v>
      </c>
      <c r="X60" s="18">
        <f>IF(+($F$22-X55-$I$69)&gt;0.1,(U22-X55-$I$69),0)</f>
        <v>0</v>
      </c>
      <c r="AA60" s="18">
        <f>IF(+($F$22-AA55-$I$69)&gt;0.1,(X22-AA55-$I$69),0)</f>
        <v>0</v>
      </c>
    </row>
    <row r="61" spans="3:27" x14ac:dyDescent="0.4">
      <c r="C61" s="1" t="s">
        <v>50</v>
      </c>
      <c r="F61" s="18">
        <f>IF(+($F$23-F56-$I$69)&gt;0.1,($F$23-F56-$I$69),0)</f>
        <v>26344.984659090911</v>
      </c>
      <c r="I61" s="18">
        <f>IF(+($F$23-I56-$I$69)&gt;0.1,($F$23-I56-$I$69),0)</f>
        <v>5531.8284235770807</v>
      </c>
      <c r="L61" s="18">
        <f>IF(+($F$23-L56-$I$69)&gt;0.1,($F$23-L56-$I$69),0)</f>
        <v>1915.4884469579883</v>
      </c>
      <c r="O61" s="18">
        <f>IF(+($F$23-O56-$I$69)&gt;0.1,($F$23-O56-$I$69),0)</f>
        <v>0</v>
      </c>
      <c r="R61" s="18">
        <f>IF(+($F$23-R56-$I$69)&gt;0.1,($F$23-R56-$I$69),0)</f>
        <v>0</v>
      </c>
      <c r="U61" s="18">
        <f>IF(+($F$23-U56-$I$69)&gt;0.1,($F$23-U56-$I$69),0)</f>
        <v>0</v>
      </c>
      <c r="X61" s="18">
        <f>IF(+($F$23-X56-$I$69)&gt;0.1,($F$23-X56-$I$69),0)</f>
        <v>0</v>
      </c>
      <c r="AA61" s="18">
        <f>IF(+($F$23-AA56-$I$69)&gt;0.1,($F$23-AA56-$I$69),0)</f>
        <v>0</v>
      </c>
    </row>
    <row r="62" spans="3:27" x14ac:dyDescent="0.4">
      <c r="C62" s="1" t="s">
        <v>51</v>
      </c>
      <c r="F62" s="18">
        <f>IF(+($I$43-F57-$I$69)&gt;0.1,($I$43-F57-$I$69),0)</f>
        <v>28285.240940340915</v>
      </c>
      <c r="I62" s="18">
        <f>IF(+($I$43-I57-$I$69)&gt;0.1,($I$43-I57-$I$69),0)</f>
        <v>7993.1467527364475</v>
      </c>
      <c r="L62" s="18">
        <f>IF(+($I$43-L57-$I$69)&gt;0.1,($I$43-L57-$I$69),0)</f>
        <v>4424.2656013112828</v>
      </c>
      <c r="O62" s="18">
        <f>IF(+($I$43-O57-$I$69)&gt;0.1,($I$43-O57-$I$69),0)</f>
        <v>813.20635797752402</v>
      </c>
      <c r="R62" s="18">
        <f>IF(+($I$43-R57-$I$69)&gt;0.1,($I$43-R57-$I$69),0)</f>
        <v>0</v>
      </c>
      <c r="U62" s="18">
        <f>IF(+($I$43-U57-$I$69)&gt;0.1,($I$43-U57-$I$69),0)</f>
        <v>0</v>
      </c>
      <c r="X62" s="18">
        <f>IF(+($I$43-X57-$I$69)&gt;0.1,($I$43-X57-$I$69),0)</f>
        <v>0</v>
      </c>
      <c r="AA62" s="18">
        <f>IF(+($I$43-AA57-$I$69)&gt;0.1,($I$43-AA57-$I$69),0)</f>
        <v>0</v>
      </c>
    </row>
    <row r="63" spans="3:27" x14ac:dyDescent="0.4">
      <c r="C63" s="1" t="s">
        <v>39</v>
      </c>
      <c r="F63" s="7">
        <f>0.35*F58</f>
        <v>7318.1818181818171</v>
      </c>
      <c r="I63" s="7">
        <f>0.35*I58</f>
        <v>0</v>
      </c>
      <c r="L63" s="7">
        <f>0.35*L58</f>
        <v>0</v>
      </c>
      <c r="O63" s="7">
        <f>0.35*O58</f>
        <v>0</v>
      </c>
      <c r="R63" s="7">
        <f>0.35*R58</f>
        <v>0</v>
      </c>
      <c r="U63" s="7">
        <f>0.35*U58</f>
        <v>0</v>
      </c>
      <c r="X63" s="7">
        <f>0.35*X58</f>
        <v>0</v>
      </c>
      <c r="AA63" s="7">
        <f>0.35*AA58</f>
        <v>0</v>
      </c>
    </row>
    <row r="64" spans="3:27" x14ac:dyDescent="0.4">
      <c r="C64" s="1" t="s">
        <v>40</v>
      </c>
      <c r="F64" s="7">
        <f t="shared" ref="F64:F67" si="8">0.35*F59</f>
        <v>7930.6818181818171</v>
      </c>
      <c r="I64" s="7">
        <f t="shared" ref="I64:I67" si="9">0.35*I59</f>
        <v>297.32461669203349</v>
      </c>
      <c r="L64" s="7">
        <f t="shared" ref="L64:L67" si="10">0.35*L59</f>
        <v>0</v>
      </c>
      <c r="O64" s="7">
        <f t="shared" ref="O64:O67" si="11">0.35*O59</f>
        <v>0</v>
      </c>
      <c r="R64" s="7">
        <f t="shared" ref="R64:R67" si="12">0.35*R59</f>
        <v>0</v>
      </c>
      <c r="U64" s="7">
        <f t="shared" ref="U64:U67" si="13">0.35*U59</f>
        <v>0</v>
      </c>
      <c r="X64" s="7">
        <f t="shared" ref="X64:X67" si="14">0.35*X59</f>
        <v>0</v>
      </c>
      <c r="AA64" s="7">
        <f t="shared" ref="AA64:AA67" si="15">0.35*AA59</f>
        <v>0</v>
      </c>
    </row>
    <row r="65" spans="3:27" x14ac:dyDescent="0.4">
      <c r="C65" s="1" t="s">
        <v>41</v>
      </c>
      <c r="F65" s="7">
        <f t="shared" si="8"/>
        <v>8564.619318181818</v>
      </c>
      <c r="I65" s="7">
        <f t="shared" si="9"/>
        <v>1103.0261918671299</v>
      </c>
      <c r="L65" s="7">
        <f t="shared" si="10"/>
        <v>0</v>
      </c>
      <c r="O65" s="7">
        <f t="shared" si="11"/>
        <v>0</v>
      </c>
      <c r="R65" s="7">
        <f t="shared" si="12"/>
        <v>0</v>
      </c>
      <c r="U65" s="7">
        <f t="shared" si="13"/>
        <v>0</v>
      </c>
      <c r="X65" s="7">
        <f t="shared" si="14"/>
        <v>0</v>
      </c>
      <c r="AA65" s="7">
        <f t="shared" si="15"/>
        <v>0</v>
      </c>
    </row>
    <row r="66" spans="3:27" x14ac:dyDescent="0.4">
      <c r="C66" s="1" t="s">
        <v>42</v>
      </c>
      <c r="F66" s="7">
        <f t="shared" si="8"/>
        <v>9220.7446306818183</v>
      </c>
      <c r="I66" s="7">
        <f t="shared" si="9"/>
        <v>1936.139948251978</v>
      </c>
      <c r="L66" s="7">
        <f t="shared" si="10"/>
        <v>670.42095643529592</v>
      </c>
      <c r="O66" s="7">
        <f t="shared" si="11"/>
        <v>0</v>
      </c>
      <c r="R66" s="7">
        <f t="shared" si="12"/>
        <v>0</v>
      </c>
      <c r="U66" s="7">
        <f t="shared" si="13"/>
        <v>0</v>
      </c>
      <c r="X66" s="7">
        <f t="shared" si="14"/>
        <v>0</v>
      </c>
      <c r="AA66" s="7">
        <f t="shared" si="15"/>
        <v>0</v>
      </c>
    </row>
    <row r="67" spans="3:27" x14ac:dyDescent="0.4">
      <c r="C67" s="1" t="s">
        <v>43</v>
      </c>
      <c r="F67" s="7">
        <f t="shared" si="8"/>
        <v>9899.8343291193196</v>
      </c>
      <c r="I67" s="7">
        <f t="shared" si="9"/>
        <v>2797.6013634577566</v>
      </c>
      <c r="L67" s="7">
        <f t="shared" si="10"/>
        <v>1548.4929604589488</v>
      </c>
      <c r="O67" s="7">
        <f t="shared" si="11"/>
        <v>284.62222529213341</v>
      </c>
      <c r="R67" s="7">
        <f t="shared" si="12"/>
        <v>0</v>
      </c>
      <c r="U67" s="7">
        <f t="shared" si="13"/>
        <v>0</v>
      </c>
      <c r="X67" s="7">
        <f t="shared" si="14"/>
        <v>0</v>
      </c>
      <c r="AA67" s="7">
        <f t="shared" si="15"/>
        <v>0</v>
      </c>
    </row>
    <row r="68" spans="3:27" x14ac:dyDescent="0.4">
      <c r="I68" s="7"/>
    </row>
    <row r="69" spans="3:27" x14ac:dyDescent="0.4">
      <c r="C69" s="1" t="s">
        <v>26</v>
      </c>
      <c r="F69" s="7">
        <f>+$D$7*$C$11/$C$12</f>
        <v>29090.909090909092</v>
      </c>
      <c r="I69" s="7">
        <f>+F69</f>
        <v>29090.909090909092</v>
      </c>
      <c r="L69" s="7">
        <f>+F69</f>
        <v>29090.909090909092</v>
      </c>
      <c r="O69" s="7">
        <f>+F69</f>
        <v>29090.909090909092</v>
      </c>
      <c r="R69" s="7">
        <f>+I69</f>
        <v>29090.909090909092</v>
      </c>
      <c r="U69" s="7">
        <f>+L69</f>
        <v>29090.909090909092</v>
      </c>
      <c r="X69" s="7">
        <f>+O69</f>
        <v>29090.909090909092</v>
      </c>
      <c r="AA69" s="7">
        <f>+R69</f>
        <v>29090.909090909092</v>
      </c>
    </row>
    <row r="70" spans="3:27" x14ac:dyDescent="0.4">
      <c r="C70" s="1" t="s">
        <v>28</v>
      </c>
      <c r="F70" s="7">
        <f>+$F$44/$C$4</f>
        <v>1187686.3056468749</v>
      </c>
      <c r="I70" s="7">
        <f t="shared" ref="I70:I75" si="16">+F70</f>
        <v>1187686.3056468749</v>
      </c>
      <c r="L70" s="7">
        <f t="shared" ref="L70:L75" si="17">+F70</f>
        <v>1187686.3056468749</v>
      </c>
      <c r="O70" s="7">
        <f t="shared" ref="O70:O75" si="18">+F70</f>
        <v>1187686.3056468749</v>
      </c>
      <c r="R70" s="7">
        <f t="shared" ref="R70:R75" si="19">+I70</f>
        <v>1187686.3056468749</v>
      </c>
      <c r="U70" s="7">
        <f t="shared" ref="U70:U75" si="20">+L70</f>
        <v>1187686.3056468749</v>
      </c>
      <c r="X70" s="7">
        <f t="shared" ref="X70:X75" si="21">+O70</f>
        <v>1187686.3056468749</v>
      </c>
      <c r="AA70" s="7">
        <f t="shared" ref="AA70:AA75" si="22">+R70</f>
        <v>1187686.3056468749</v>
      </c>
    </row>
    <row r="71" spans="3:27" x14ac:dyDescent="0.4">
      <c r="C71" s="1" t="s">
        <v>29</v>
      </c>
      <c r="F71" s="7">
        <f>+$F$69*5</f>
        <v>145454.54545454547</v>
      </c>
      <c r="I71" s="7">
        <f t="shared" si="16"/>
        <v>145454.54545454547</v>
      </c>
      <c r="L71" s="7">
        <f t="shared" si="17"/>
        <v>145454.54545454547</v>
      </c>
      <c r="O71" s="7">
        <f t="shared" si="18"/>
        <v>145454.54545454547</v>
      </c>
      <c r="R71" s="7">
        <f t="shared" si="19"/>
        <v>145454.54545454547</v>
      </c>
      <c r="U71" s="7">
        <f t="shared" si="20"/>
        <v>145454.54545454547</v>
      </c>
      <c r="X71" s="7">
        <f t="shared" si="21"/>
        <v>145454.54545454547</v>
      </c>
      <c r="AA71" s="7">
        <f t="shared" si="22"/>
        <v>145454.54545454547</v>
      </c>
    </row>
    <row r="72" spans="3:27" x14ac:dyDescent="0.4">
      <c r="C72" s="1" t="s">
        <v>45</v>
      </c>
      <c r="F72" s="7">
        <f>+D7-F71</f>
        <v>854545.45454545459</v>
      </c>
      <c r="I72" s="7">
        <f t="shared" si="16"/>
        <v>854545.45454545459</v>
      </c>
      <c r="L72" s="7">
        <f t="shared" si="17"/>
        <v>854545.45454545459</v>
      </c>
      <c r="O72" s="7">
        <f t="shared" si="18"/>
        <v>854545.45454545459</v>
      </c>
      <c r="R72" s="7">
        <f t="shared" si="19"/>
        <v>854545.45454545459</v>
      </c>
      <c r="U72" s="7">
        <f t="shared" si="20"/>
        <v>854545.45454545459</v>
      </c>
      <c r="X72" s="7">
        <f t="shared" si="21"/>
        <v>854545.45454545459</v>
      </c>
      <c r="AA72" s="7">
        <f t="shared" si="22"/>
        <v>854545.45454545459</v>
      </c>
    </row>
    <row r="73" spans="3:27" x14ac:dyDescent="0.4">
      <c r="C73" s="1" t="s">
        <v>30</v>
      </c>
      <c r="F73" s="7">
        <f>+$F$70-$F$71-F72</f>
        <v>187686.30564687494</v>
      </c>
      <c r="I73" s="7">
        <f t="shared" si="16"/>
        <v>187686.30564687494</v>
      </c>
      <c r="L73" s="7">
        <f t="shared" si="17"/>
        <v>187686.30564687494</v>
      </c>
      <c r="O73" s="7">
        <f t="shared" si="18"/>
        <v>187686.30564687494</v>
      </c>
      <c r="R73" s="7">
        <f t="shared" si="19"/>
        <v>187686.30564687494</v>
      </c>
      <c r="U73" s="7">
        <f t="shared" si="20"/>
        <v>187686.30564687494</v>
      </c>
      <c r="X73" s="7">
        <f t="shared" si="21"/>
        <v>187686.30564687494</v>
      </c>
      <c r="AA73" s="7">
        <f t="shared" si="22"/>
        <v>187686.30564687494</v>
      </c>
    </row>
    <row r="74" spans="3:27" x14ac:dyDescent="0.4">
      <c r="C74" s="1" t="s">
        <v>31</v>
      </c>
      <c r="F74" s="7">
        <f>+$F$71*C14</f>
        <v>36363.636363636368</v>
      </c>
      <c r="I74" s="7">
        <f t="shared" si="16"/>
        <v>36363.636363636368</v>
      </c>
      <c r="L74" s="7">
        <f t="shared" si="17"/>
        <v>36363.636363636368</v>
      </c>
      <c r="O74" s="7">
        <f t="shared" si="18"/>
        <v>36363.636363636368</v>
      </c>
      <c r="R74" s="7">
        <f t="shared" si="19"/>
        <v>36363.636363636368</v>
      </c>
      <c r="U74" s="7">
        <f t="shared" si="20"/>
        <v>36363.636363636368</v>
      </c>
      <c r="X74" s="7">
        <f t="shared" si="21"/>
        <v>36363.636363636368</v>
      </c>
      <c r="AA74" s="7">
        <f t="shared" si="22"/>
        <v>36363.636363636368</v>
      </c>
    </row>
    <row r="75" spans="3:27" x14ac:dyDescent="0.4">
      <c r="C75" s="1" t="s">
        <v>32</v>
      </c>
      <c r="F75" s="7">
        <f>+$F$73*$C$15</f>
        <v>37537.261129374987</v>
      </c>
      <c r="I75" s="7">
        <f t="shared" si="16"/>
        <v>37537.261129374987</v>
      </c>
      <c r="L75" s="7">
        <f t="shared" si="17"/>
        <v>37537.261129374987</v>
      </c>
      <c r="O75" s="7">
        <f t="shared" si="18"/>
        <v>37537.261129374987</v>
      </c>
      <c r="R75" s="7">
        <f t="shared" si="19"/>
        <v>37537.261129374987</v>
      </c>
      <c r="U75" s="7">
        <f t="shared" si="20"/>
        <v>37537.261129374987</v>
      </c>
      <c r="X75" s="7">
        <f t="shared" si="21"/>
        <v>37537.261129374987</v>
      </c>
      <c r="AA75" s="7">
        <f t="shared" si="22"/>
        <v>37537.261129374987</v>
      </c>
    </row>
    <row r="76" spans="3:27" x14ac:dyDescent="0.4">
      <c r="C76" s="1" t="s">
        <v>44</v>
      </c>
      <c r="F76" s="7">
        <f>+F70-F74-F75</f>
        <v>1113785.4081538634</v>
      </c>
      <c r="I76" s="7">
        <f>+$F$76-I46</f>
        <v>446987.68305363122</v>
      </c>
      <c r="L76" s="7">
        <f>+$F$76-L46</f>
        <v>441057.36284419033</v>
      </c>
      <c r="O76" s="7">
        <f>+$F$76-O46</f>
        <v>435429.05963318341</v>
      </c>
      <c r="R76" s="7">
        <f>+$F$76-R46</f>
        <v>430101.02943103737</v>
      </c>
      <c r="U76" s="7">
        <f>+$F$76-U46</f>
        <v>425069.9175161242</v>
      </c>
      <c r="X76" s="7">
        <f>+$F$76-X46</f>
        <v>420330.88194595091</v>
      </c>
      <c r="AA76" s="7">
        <f>+$F$76-AA46</f>
        <v>415877.73198271496</v>
      </c>
    </row>
    <row r="78" spans="3:27" x14ac:dyDescent="0.4">
      <c r="C78" s="11" t="s">
        <v>13</v>
      </c>
    </row>
    <row r="80" spans="3:27" x14ac:dyDescent="0.4">
      <c r="C80" s="12" t="s">
        <v>14</v>
      </c>
    </row>
  </sheetData>
  <pageMargins left="0.25" right="0.25" top="0.75" bottom="0.75" header="0.3" footer="0.3"/>
  <pageSetup paperSize="17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IRR_Review</vt:lpstr>
      <vt:lpstr>IRR_Review!Print_Area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Clarke</dc:creator>
  <cp:lastModifiedBy>Todd Clarke</cp:lastModifiedBy>
  <cp:lastPrinted>2022-08-28T00:50:51Z</cp:lastPrinted>
  <dcterms:created xsi:type="dcterms:W3CDTF">2022-08-15T18:35:37Z</dcterms:created>
  <dcterms:modified xsi:type="dcterms:W3CDTF">2022-12-31T00:37:13Z</dcterms:modified>
</cp:coreProperties>
</file>